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20" tabRatio="835" activeTab="3"/>
  </bookViews>
  <sheets>
    <sheet name="Handleiding" sheetId="1" r:id="rId1"/>
    <sheet name="Invoerscherm" sheetId="2" r:id="rId2"/>
    <sheet name="Uitvoerscherm" sheetId="3" r:id="rId3"/>
    <sheet name="Datablad 1" sheetId="4" r:id="rId4"/>
    <sheet name="Datablad 2" sheetId="5" r:id="rId5"/>
    <sheet name="Datablad 3" sheetId="6" r:id="rId6"/>
    <sheet name="Berekeningen" sheetId="7" r:id="rId7"/>
  </sheets>
  <definedNames>
    <definedName name="_xlnm.Print_Area" localSheetId="3">'Datablad 1'!$A$1:$E$56</definedName>
    <definedName name="_xlnm.Print_Area" localSheetId="5">'Datablad 3'!$A$1:$F$162</definedName>
    <definedName name="_xlnm.Print_Area" localSheetId="1">'Invoerscherm'!$A:$Q</definedName>
    <definedName name="_xlnm.Print_Titles" localSheetId="5">'Datablad 3'!$1:$1</definedName>
  </definedNames>
  <calcPr fullCalcOnLoad="1"/>
</workbook>
</file>

<file path=xl/comments6.xml><?xml version="1.0" encoding="utf-8"?>
<comments xmlns="http://schemas.openxmlformats.org/spreadsheetml/2006/main">
  <authors>
    <author>ork</author>
  </authors>
  <commentList>
    <comment ref="C158" authorId="0">
      <text>
        <r>
          <rPr>
            <b/>
            <sz val="8"/>
            <rFont val="Tahoma"/>
            <family val="0"/>
          </rPr>
          <t>ork:</t>
        </r>
        <r>
          <rPr>
            <sz val="8"/>
            <rFont val="Tahoma"/>
            <family val="0"/>
          </rPr>
          <t xml:space="preserve">
BEPAALD OP
100% van watersof peroxide</t>
        </r>
      </text>
    </comment>
    <comment ref="C159" authorId="0">
      <text>
        <r>
          <rPr>
            <b/>
            <sz val="8"/>
            <rFont val="Tahoma"/>
            <family val="0"/>
          </rPr>
          <t>ork:</t>
        </r>
        <r>
          <rPr>
            <sz val="8"/>
            <rFont val="Tahoma"/>
            <family val="0"/>
          </rPr>
          <t xml:space="preserve">
BEPAALD OP
80% van watersof peroxide</t>
        </r>
      </text>
    </comment>
    <comment ref="B110" authorId="0">
      <text>
        <r>
          <rPr>
            <b/>
            <sz val="8"/>
            <rFont val="Tahoma"/>
            <family val="0"/>
          </rPr>
          <t>ork:</t>
        </r>
        <r>
          <rPr>
            <sz val="8"/>
            <rFont val="Tahoma"/>
            <family val="0"/>
          </rPr>
          <t xml:space="preserve">
verwarming tot 100 grC en duur van 3 maanden</t>
        </r>
      </text>
    </comment>
    <comment ref="B109" authorId="0">
      <text>
        <r>
          <rPr>
            <b/>
            <sz val="8"/>
            <rFont val="Tahoma"/>
            <family val="0"/>
          </rPr>
          <t>ork:</t>
        </r>
        <r>
          <rPr>
            <sz val="8"/>
            <rFont val="Tahoma"/>
            <family val="0"/>
          </rPr>
          <t xml:space="preserve">
1. verwarming tot 100 grC toepassingsduur van 3 maanden
of
2. verwarming tot 40 grC toepassingsduur 3 jaar
behoeft een overeenkomend hoeveelheid energie</t>
        </r>
      </text>
    </comment>
  </commentList>
</comments>
</file>

<file path=xl/comments7.xml><?xml version="1.0" encoding="utf-8"?>
<comments xmlns="http://schemas.openxmlformats.org/spreadsheetml/2006/main">
  <authors>
    <author>de Roo</author>
    <author>ork</author>
  </authors>
  <commentList>
    <comment ref="G166" authorId="0">
      <text>
        <r>
          <rPr>
            <b/>
            <sz val="8"/>
            <rFont val="Tahoma"/>
            <family val="0"/>
          </rPr>
          <t>de Roo:</t>
        </r>
        <r>
          <rPr>
            <sz val="8"/>
            <rFont val="Tahoma"/>
            <family val="0"/>
          </rPr>
          <t xml:space="preserve">
hoeveelheid waterstofperoxide wordt gedeeld door 2 ivm een 50% oplossing (de standaard berekening gaat uit van 100%)</t>
        </r>
      </text>
    </comment>
    <comment ref="C164" authorId="1">
      <text>
        <r>
          <rPr>
            <b/>
            <sz val="8"/>
            <rFont val="Tahoma"/>
            <family val="0"/>
          </rPr>
          <t>ork:</t>
        </r>
        <r>
          <rPr>
            <sz val="8"/>
            <rFont val="Tahoma"/>
            <family val="0"/>
          </rPr>
          <t xml:space="preserve">
op basis van gestandaardiseerd boringsysteem tbv directie injectie middels injectielans</t>
        </r>
      </text>
    </comment>
    <comment ref="D164" authorId="1">
      <text>
        <r>
          <rPr>
            <b/>
            <sz val="8"/>
            <rFont val="Tahoma"/>
            <family val="0"/>
          </rPr>
          <t>ork:</t>
        </r>
        <r>
          <rPr>
            <sz val="8"/>
            <rFont val="Tahoma"/>
            <family val="0"/>
          </rPr>
          <t xml:space="preserve">
op basis van gestandaardiseerd boringsysteem tbv directie injectie middels injectielans</t>
        </r>
      </text>
    </comment>
    <comment ref="C224" authorId="1">
      <text>
        <r>
          <rPr>
            <b/>
            <sz val="8"/>
            <rFont val="Tahoma"/>
            <family val="0"/>
          </rPr>
          <t>ork:</t>
        </r>
        <r>
          <rPr>
            <sz val="8"/>
            <rFont val="Tahoma"/>
            <family val="0"/>
          </rPr>
          <t xml:space="preserve">
productie van verwarmingselement is niet meegenomen &gt; geen waarde voor bekend</t>
        </r>
      </text>
    </comment>
    <comment ref="C225" authorId="1">
      <text>
        <r>
          <rPr>
            <b/>
            <sz val="8"/>
            <rFont val="Tahoma"/>
            <family val="0"/>
          </rPr>
          <t>ork:</t>
        </r>
        <r>
          <rPr>
            <sz val="8"/>
            <rFont val="Tahoma"/>
            <family val="0"/>
          </rPr>
          <t xml:space="preserve">
productie van verwarmingselement is niet meegenomen &gt; geen waarde voor bekend</t>
        </r>
      </text>
    </comment>
    <comment ref="C226" authorId="1">
      <text>
        <r>
          <rPr>
            <b/>
            <sz val="8"/>
            <rFont val="Tahoma"/>
            <family val="0"/>
          </rPr>
          <t>ork:</t>
        </r>
        <r>
          <rPr>
            <sz val="8"/>
            <rFont val="Tahoma"/>
            <family val="0"/>
          </rPr>
          <t xml:space="preserve">
productie van verwarmingselement is niet meegenomen &gt; geen waarde voor bekend</t>
        </r>
      </text>
    </comment>
    <comment ref="C227" authorId="1">
      <text>
        <r>
          <rPr>
            <b/>
            <sz val="8"/>
            <rFont val="Tahoma"/>
            <family val="0"/>
          </rPr>
          <t>ork:</t>
        </r>
        <r>
          <rPr>
            <sz val="8"/>
            <rFont val="Tahoma"/>
            <family val="0"/>
          </rPr>
          <t xml:space="preserve">
productie van verwarmingselement is niet meegenomen &gt; geen waarde voor bekend</t>
        </r>
      </text>
    </comment>
    <comment ref="D224" authorId="1">
      <text>
        <r>
          <rPr>
            <b/>
            <sz val="8"/>
            <rFont val="Tahoma"/>
            <family val="0"/>
          </rPr>
          <t>ork:</t>
        </r>
        <r>
          <rPr>
            <sz val="8"/>
            <rFont val="Tahoma"/>
            <family val="0"/>
          </rPr>
          <t xml:space="preserve">
productie van verwarmingselement is niet meegenomen &gt; geen waarde voor bekend</t>
        </r>
      </text>
    </comment>
    <comment ref="D225" authorId="1">
      <text>
        <r>
          <rPr>
            <b/>
            <sz val="8"/>
            <rFont val="Tahoma"/>
            <family val="0"/>
          </rPr>
          <t>ork:</t>
        </r>
        <r>
          <rPr>
            <sz val="8"/>
            <rFont val="Tahoma"/>
            <family val="0"/>
          </rPr>
          <t xml:space="preserve">
productie van verwarmingselement is niet meegenomen &gt; geen waarde voor bekend</t>
        </r>
      </text>
    </comment>
    <comment ref="D226" authorId="1">
      <text>
        <r>
          <rPr>
            <b/>
            <sz val="8"/>
            <rFont val="Tahoma"/>
            <family val="0"/>
          </rPr>
          <t>ork:</t>
        </r>
        <r>
          <rPr>
            <sz val="8"/>
            <rFont val="Tahoma"/>
            <family val="0"/>
          </rPr>
          <t xml:space="preserve">
productie van verwarmingselement is niet meegenomen &gt; geen waarde voor bekend</t>
        </r>
      </text>
    </comment>
    <comment ref="D227" authorId="1">
      <text>
        <r>
          <rPr>
            <b/>
            <sz val="8"/>
            <rFont val="Tahoma"/>
            <family val="0"/>
          </rPr>
          <t>ork:</t>
        </r>
        <r>
          <rPr>
            <sz val="8"/>
            <rFont val="Tahoma"/>
            <family val="0"/>
          </rPr>
          <t xml:space="preserve">
productie van verwarmingselement is niet meegenomen &gt; geen waarde voor bekend</t>
        </r>
      </text>
    </comment>
    <comment ref="C5" authorId="1">
      <text>
        <r>
          <rPr>
            <b/>
            <sz val="8"/>
            <rFont val="Tahoma"/>
            <family val="0"/>
          </rPr>
          <t>ork:</t>
        </r>
        <r>
          <rPr>
            <sz val="8"/>
            <rFont val="Tahoma"/>
            <family val="0"/>
          </rPr>
          <t xml:space="preserve">
een gestandaardiseerde berekening rekent met een foliedikte van 3 mm</t>
        </r>
      </text>
    </comment>
    <comment ref="C192" authorId="1">
      <text>
        <r>
          <rPr>
            <b/>
            <sz val="8"/>
            <rFont val="Tahoma"/>
            <family val="0"/>
          </rPr>
          <t>ork:</t>
        </r>
        <r>
          <rPr>
            <sz val="8"/>
            <rFont val="Tahoma"/>
            <family val="0"/>
          </rPr>
          <t xml:space="preserve">
berekent op basis van gestandaardiseerde boring tbv directe injectie substraat</t>
        </r>
      </text>
    </comment>
  </commentList>
</comments>
</file>

<file path=xl/sharedStrings.xml><?xml version="1.0" encoding="utf-8"?>
<sst xmlns="http://schemas.openxmlformats.org/spreadsheetml/2006/main" count="3461" uniqueCount="817">
  <si>
    <t>versie</t>
  </si>
  <si>
    <r>
      <t>Rekenmodel CO</t>
    </r>
    <r>
      <rPr>
        <b/>
        <vertAlign val="subscript"/>
        <sz val="12"/>
        <color indexed="20"/>
        <rFont val="Arial"/>
        <family val="2"/>
      </rPr>
      <t>2</t>
    </r>
    <r>
      <rPr>
        <b/>
        <sz val="12"/>
        <color indexed="20"/>
        <rFont val="Arial"/>
        <family val="2"/>
      </rPr>
      <t xml:space="preserve"> bij bodemsaneringen</t>
    </r>
  </si>
  <si>
    <t>Projectnaam</t>
  </si>
  <si>
    <t>&lt;&lt;projectnaam&gt;&gt;</t>
  </si>
  <si>
    <t>Saneringsvariant</t>
  </si>
  <si>
    <t>&lt;&lt;saneringsvariant&gt;&gt;</t>
  </si>
  <si>
    <t>Datum</t>
  </si>
  <si>
    <t>&lt;&lt;datum&gt;&gt;</t>
  </si>
  <si>
    <t>Model ingevuld door</t>
  </si>
  <si>
    <t>&lt;&lt;naam&gt;&gt;</t>
  </si>
  <si>
    <t>Invoerscherm</t>
  </si>
  <si>
    <t>Grond</t>
  </si>
  <si>
    <t>Ontgraven Landbodem</t>
  </si>
  <si>
    <t>Volg de vragen en keuze mogelijkheden voor het betreffende onderdeel en voer de juiste gegevens in.</t>
  </si>
  <si>
    <t>Graafmachine</t>
  </si>
  <si>
    <t>Diesel</t>
  </si>
  <si>
    <t>Biodiesel</t>
  </si>
  <si>
    <t>Keuzelijsten</t>
  </si>
  <si>
    <t>m³</t>
  </si>
  <si>
    <t>Shovel</t>
  </si>
  <si>
    <t>Brandstoffen</t>
  </si>
  <si>
    <t>CO2 emissie bij verbranding</t>
  </si>
  <si>
    <t>kg CO2 / L diesel</t>
  </si>
  <si>
    <t>Benzine</t>
  </si>
  <si>
    <t>kg CO2 / L benzine</t>
  </si>
  <si>
    <t>LPG</t>
  </si>
  <si>
    <t>kg CO2 / L LPG</t>
  </si>
  <si>
    <t>Stookolie (licht)</t>
  </si>
  <si>
    <t>kg CO2 / L lichte stookolie</t>
  </si>
  <si>
    <t>Aardgas</t>
  </si>
  <si>
    <t>kg CO2 / m3 gas</t>
  </si>
  <si>
    <t>Steenkool</t>
  </si>
  <si>
    <t>kg CO2 / kg kolen</t>
  </si>
  <si>
    <t>kg CO2 / L biodiesel</t>
  </si>
  <si>
    <t>CO2 emissie bij winning, transport en voorbehandeling</t>
  </si>
  <si>
    <t>Dichtheid</t>
  </si>
  <si>
    <t>kg/L</t>
  </si>
  <si>
    <t>kg/m3</t>
  </si>
  <si>
    <t>CO2 emissie totaal</t>
  </si>
  <si>
    <t>kg CO2/kWh</t>
  </si>
  <si>
    <t>Groene stroom</t>
  </si>
  <si>
    <t>Directe windenergie</t>
  </si>
  <si>
    <t>Directe zonne-energie</t>
  </si>
  <si>
    <t>Directe waterkracht</t>
  </si>
  <si>
    <t>Directe biomassa</t>
  </si>
  <si>
    <t>eenheden omrekenen</t>
  </si>
  <si>
    <t>kWh</t>
  </si>
  <si>
    <t>MJ/kWh</t>
  </si>
  <si>
    <t>is 3,6 * 10^6 J</t>
  </si>
  <si>
    <t>dichtheid grond</t>
  </si>
  <si>
    <t>ton/m3</t>
  </si>
  <si>
    <t>Kunststoffen</t>
  </si>
  <si>
    <t>dichtheid</t>
  </si>
  <si>
    <t>PVC</t>
  </si>
  <si>
    <t>g/cm3</t>
  </si>
  <si>
    <t>HDPE</t>
  </si>
  <si>
    <t>LDPE</t>
  </si>
  <si>
    <t>PP</t>
  </si>
  <si>
    <t>PET</t>
  </si>
  <si>
    <t>Staal</t>
  </si>
  <si>
    <t>RVS</t>
  </si>
  <si>
    <t>Nutrienten</t>
  </si>
  <si>
    <t>Protamylasse</t>
  </si>
  <si>
    <t>Oxidatiereacties</t>
  </si>
  <si>
    <t>Reactievergelijking</t>
  </si>
  <si>
    <t>CO2-productie</t>
  </si>
  <si>
    <t>Opmerking</t>
  </si>
  <si>
    <t>Thermische grondreiniging (1)</t>
  </si>
  <si>
    <t>C + O2 =&gt; CO2</t>
  </si>
  <si>
    <t>kg CO2 / kg C</t>
  </si>
  <si>
    <t>100% organisch C in grond verbrand</t>
  </si>
  <si>
    <t>Thermische grondreiniging (2)</t>
  </si>
  <si>
    <t>CaCO3 =&gt; CO2 + CaO</t>
  </si>
  <si>
    <t>kg CO2 / kg CaCO3</t>
  </si>
  <si>
    <t>100% CaCO3 in grond verbrand</t>
  </si>
  <si>
    <t>Biologische grondreiniging</t>
  </si>
  <si>
    <t>10% organisch C in grond is biologisch afbreekbaar</t>
  </si>
  <si>
    <t>Persluchtinjectie (&gt; 1 jaar)</t>
  </si>
  <si>
    <t>10% organisch C in grond is biologisch afbreekbaar en 20% CO2-buffer water</t>
  </si>
  <si>
    <t>Waterstofperoxide</t>
  </si>
  <si>
    <t>2 H2O2 + C =&gt; 2 H2O + CO2</t>
  </si>
  <si>
    <t>kg CO2 / kg H2O2</t>
  </si>
  <si>
    <t>Omrekening obv ingezette vracht H2O2. Rekening houdend met 50% reactie met koolstof en 20% CO2-buffer water</t>
  </si>
  <si>
    <t>Ozon</t>
  </si>
  <si>
    <t>2 O3 + 3 C =&gt; 3 CO2</t>
  </si>
  <si>
    <t>kg CO2 / kg O3</t>
  </si>
  <si>
    <t>Omrekening obv ingezette vracht O3. Rekening houdend met 10% reactie met koolstof en 20% CO2-buffer water</t>
  </si>
  <si>
    <t>Persulfaat</t>
  </si>
  <si>
    <t>2 Na2S2O8 + 2 H2O + C =&gt; CO2 + 4 SO4 + 4 Na + 4 H</t>
  </si>
  <si>
    <t>kg CO2 / kg Na2S2O8</t>
  </si>
  <si>
    <t>Omrekening obv ingezette vracht persulfaat. Rrekeninghoudend met 20% reactie met koolstof en 20% CO2-buffer water</t>
  </si>
  <si>
    <t>Permanganaat</t>
  </si>
  <si>
    <t>KMnO4 +C =&gt; CO2 + MnO2 + K</t>
  </si>
  <si>
    <t>kg CO2 / kg KMnO4</t>
  </si>
  <si>
    <t>Omrekening obv ingezette vracht permanganaat. Rekeninghoudend met 20% reactie met koolstof en 20% CO2-budder water</t>
  </si>
  <si>
    <t>Biostimulatie</t>
  </si>
  <si>
    <t>kg CO2 / kg melasse</t>
  </si>
  <si>
    <t>kg CO2 / kg protamylasse</t>
  </si>
  <si>
    <t>kg CO2 / kg soja olie</t>
  </si>
  <si>
    <t>Saneringsonderdeel</t>
  </si>
  <si>
    <t>min</t>
  </si>
  <si>
    <t>max</t>
  </si>
  <si>
    <t>Ontgraven grond</t>
  </si>
  <si>
    <t>Energie specificatie</t>
  </si>
  <si>
    <t>L diesel / ton</t>
  </si>
  <si>
    <t>Dumper</t>
  </si>
  <si>
    <t>Heimachine (aanleg damwanden)</t>
  </si>
  <si>
    <t>L diesel / uur (beladen)</t>
  </si>
  <si>
    <t>Transport grond</t>
  </si>
  <si>
    <t>Vrachtwagen</t>
  </si>
  <si>
    <t>L diesel / ton grond / afgelegde km</t>
  </si>
  <si>
    <t>Vrachtschip</t>
  </si>
  <si>
    <t>Verwerken grond</t>
  </si>
  <si>
    <t>Thermisch verwerken</t>
  </si>
  <si>
    <t>L lichte stookolie / ton</t>
  </si>
  <si>
    <t xml:space="preserve">Biologisch verwerken (intensieve landfarming) </t>
  </si>
  <si>
    <t>kWh / m3</t>
  </si>
  <si>
    <t>deel Luchtinvoer =&gt; bij 4 Nm3 lucht/m3/d</t>
  </si>
  <si>
    <t>MJ / m3</t>
  </si>
  <si>
    <t>deel Verwarming tot 30grC =&gt; 3,5 MJ/m3/K (opwarmen met 15K)</t>
  </si>
  <si>
    <t>Nat/extractief</t>
  </si>
  <si>
    <t>kWh / ton</t>
  </si>
  <si>
    <t>Zeven</t>
  </si>
  <si>
    <t>Sedimentatie (centrifuges)</t>
  </si>
  <si>
    <t>Puinbreken</t>
  </si>
  <si>
    <t>Materialen (productie)</t>
  </si>
  <si>
    <t>Schone grond (winning)</t>
  </si>
  <si>
    <t>Grout</t>
  </si>
  <si>
    <t>Cement</t>
  </si>
  <si>
    <t>kg CO2 / kg cement</t>
  </si>
  <si>
    <t>Bentoniet</t>
  </si>
  <si>
    <t>kg CO2 / kg bentoniet</t>
  </si>
  <si>
    <t>Geotextiel / folie PP</t>
  </si>
  <si>
    <t>kg CO2 / kg PP</t>
  </si>
  <si>
    <t>Geotextiel / folie PET</t>
  </si>
  <si>
    <t>kg CO2 / kg PET</t>
  </si>
  <si>
    <t>Damwanden</t>
  </si>
  <si>
    <t>kg CO2 / m2 damwand</t>
  </si>
  <si>
    <t>Grondwater</t>
  </si>
  <si>
    <t>Pompen en ventilatoren</t>
  </si>
  <si>
    <t>Beluchting buffer (5-15 m3/h)</t>
  </si>
  <si>
    <t>Beluchting buffer (20 m3/h)</t>
  </si>
  <si>
    <t>Beluchting buffer (25 m3/h)</t>
  </si>
  <si>
    <t>Beluchting buffer (50 m3/h)</t>
  </si>
  <si>
    <t>Opvoerpomp (5 m3/h)</t>
  </si>
  <si>
    <t>Opvoerpomp (10 m3/h)</t>
  </si>
  <si>
    <t>Opvoerpomp (15-25 m3/h)</t>
  </si>
  <si>
    <t>Opvoerpomp (50 m3/h)</t>
  </si>
  <si>
    <t>Ventilator stripper (5 m3/h)</t>
  </si>
  <si>
    <t>Ventilator stripper (10 m3/h)</t>
  </si>
  <si>
    <t>Ventilator stripper (50 m3/h)</t>
  </si>
  <si>
    <t>Deepwell pomp</t>
  </si>
  <si>
    <t>Lucht</t>
  </si>
  <si>
    <t>Compressor PLI van 100 m3/uur</t>
  </si>
  <si>
    <t>Compressor PLI van 200 m3/uur</t>
  </si>
  <si>
    <t>Compressor PLI van 300 m3/uur</t>
  </si>
  <si>
    <t>Zuiveringsonderdelen en diverse apparaten</t>
  </si>
  <si>
    <t>Coagulatie / flocculatie en Precipitatie</t>
  </si>
  <si>
    <t>kWh / m3 grondwater</t>
  </si>
  <si>
    <t>Zandfilter</t>
  </si>
  <si>
    <t>Biozuivering</t>
  </si>
  <si>
    <t>Omgekeerde osmose</t>
  </si>
  <si>
    <t>Ionenwisseling (5 m3/h)</t>
  </si>
  <si>
    <t>Ionenwisseling (10 m3/h)</t>
  </si>
  <si>
    <t>Ionenwisseling (15-25 m3/h)</t>
  </si>
  <si>
    <t>Ionenwisseling (50 m3/h)</t>
  </si>
  <si>
    <t>Katalitische oxidatie</t>
  </si>
  <si>
    <t>Fotochemische oxidatie</t>
  </si>
  <si>
    <t>Ozon (productie)</t>
  </si>
  <si>
    <t>kWh / kg ozon</t>
  </si>
  <si>
    <t>UV belichting</t>
  </si>
  <si>
    <t>Hulpstoffen (productie)</t>
  </si>
  <si>
    <t>Natronloog</t>
  </si>
  <si>
    <t>kg CO2 / kg NaOH</t>
  </si>
  <si>
    <t>Fosforzuur</t>
  </si>
  <si>
    <t>kg CO2 / kg fosforzuur</t>
  </si>
  <si>
    <t>Zoutzuur</t>
  </si>
  <si>
    <t>kg CO2 / kg zoutzuur</t>
  </si>
  <si>
    <t>Ijzersulfaat</t>
  </si>
  <si>
    <t>kg CO2 / kg ijzersulfaat</t>
  </si>
  <si>
    <t>Aluminiumsulfaat</t>
  </si>
  <si>
    <t>kg CO2 / kg aluminiumsulfaat</t>
  </si>
  <si>
    <t>Natriumsulfide</t>
  </si>
  <si>
    <t>Kalkmelk, Ca(OH)2</t>
  </si>
  <si>
    <t>Ijzerchloride, FeCl3</t>
  </si>
  <si>
    <t>kg CO2 / kg ijzerchloride</t>
  </si>
  <si>
    <t>Harsen (ionenwisseling)</t>
  </si>
  <si>
    <t>kg CO2 / kg kunsthars</t>
  </si>
  <si>
    <t>Bodemverwarming</t>
  </si>
  <si>
    <t>Technieken bodemverwarming</t>
  </si>
  <si>
    <t>kWH/m3</t>
  </si>
  <si>
    <t>Voor bodem beneden grondwater niveau, incl 20% warmteverlies</t>
  </si>
  <si>
    <t>Voor bodem beneden grondwater niveau</t>
  </si>
  <si>
    <t>Luchtreiniging</t>
  </si>
  <si>
    <t>Technieken luchtreiniging</t>
  </si>
  <si>
    <t>Actief kool (adsorptie)</t>
  </si>
  <si>
    <t>kWh / 1000 m3 lucht</t>
  </si>
  <si>
    <t>Actief kool (regeneratie)</t>
  </si>
  <si>
    <t>Katalytische verbranding</t>
  </si>
  <si>
    <t>Filters / pijpen</t>
  </si>
  <si>
    <t>Sonic drilling (100 m/dag)</t>
  </si>
  <si>
    <t>Productie filters</t>
  </si>
  <si>
    <t>PVC filters</t>
  </si>
  <si>
    <t>kg CO2 / kg PVC</t>
  </si>
  <si>
    <t>HDPE filters</t>
  </si>
  <si>
    <t>kg CO2 / kg HDPE</t>
  </si>
  <si>
    <t>RVS filters</t>
  </si>
  <si>
    <t>kg CO2 / kg RVS</t>
  </si>
  <si>
    <t>noot: delen door aantal malen hergebruik</t>
  </si>
  <si>
    <t>mm wanddikte</t>
  </si>
  <si>
    <t>Hulpstoffen in situ</t>
  </si>
  <si>
    <t>Productie hulpstoffen</t>
  </si>
  <si>
    <t>Ammoniumfosfaat (nutrient)</t>
  </si>
  <si>
    <t>kg CO2 / kg NH4H2PO4</t>
  </si>
  <si>
    <t>Ammoniumnitraat (nutrient)</t>
  </si>
  <si>
    <t>kg CO2 / kg ammoniumnitraat</t>
  </si>
  <si>
    <t>Na-tri-polyfosfaat (nutrient)</t>
  </si>
  <si>
    <t>kg CO2 / kg Na-tri-polyfosfaat</t>
  </si>
  <si>
    <t>Melasse (substraat)</t>
  </si>
  <si>
    <t>Protamylasse (substraat)</t>
  </si>
  <si>
    <t>kg CO2 / m3 protamylasse</t>
  </si>
  <si>
    <t>Soja olie (substraat)</t>
  </si>
  <si>
    <t>ISCO items</t>
  </si>
  <si>
    <t>kg CO2 / kg waterstof peroxide</t>
  </si>
  <si>
    <t>Injectoren</t>
  </si>
  <si>
    <t>ISCO-doseringsinjector</t>
  </si>
  <si>
    <t>Substraat-doseringsinjector</t>
  </si>
  <si>
    <t>Invoer gegevens</t>
  </si>
  <si>
    <t>Omreken gegevens</t>
  </si>
  <si>
    <t>Onderdeel</t>
  </si>
  <si>
    <t>Item</t>
  </si>
  <si>
    <t>CO2 footprint</t>
  </si>
  <si>
    <t>range</t>
  </si>
  <si>
    <t>eenheid</t>
  </si>
  <si>
    <t>Invoer waarde I</t>
  </si>
  <si>
    <t>Invoerwaarde II</t>
  </si>
  <si>
    <t>Invoerwaarde III</t>
  </si>
  <si>
    <t>Invoerwaarde IV</t>
  </si>
  <si>
    <t>Invoerwaarde V</t>
  </si>
  <si>
    <t>Omrekenwaarde I a</t>
  </si>
  <si>
    <t>Omrekenwaarde I b</t>
  </si>
  <si>
    <t>Omrekenwaarde II a</t>
  </si>
  <si>
    <t>Omrekenwaarde II b</t>
  </si>
  <si>
    <t>Omrekenwaarde III a</t>
  </si>
  <si>
    <t>Omrekenwaarde III b</t>
  </si>
  <si>
    <t>Omrekenwaarde IV a</t>
  </si>
  <si>
    <t>Omrekenwaarde IV b</t>
  </si>
  <si>
    <t>Omrekenwaarde V a</t>
  </si>
  <si>
    <t>Omrekenwaarde V b</t>
  </si>
  <si>
    <t>Omrekenwaarde VI a</t>
  </si>
  <si>
    <t>Omrekenwaarde VI b</t>
  </si>
  <si>
    <t>Thermisch</t>
  </si>
  <si>
    <t>Geotextiel / folie</t>
  </si>
  <si>
    <t>dagen</t>
  </si>
  <si>
    <t>km</t>
  </si>
  <si>
    <t>Elektriciteitsvoorziening</t>
  </si>
  <si>
    <t>kg</t>
  </si>
  <si>
    <t>aantal keer rijden</t>
  </si>
  <si>
    <t>m -mv</t>
  </si>
  <si>
    <t>stuks</t>
  </si>
  <si>
    <t>Filtermateriaal</t>
  </si>
  <si>
    <t>Volume te ontgraven verontreinigde grond</t>
  </si>
  <si>
    <t>Wijze van berekenen</t>
  </si>
  <si>
    <t>Gestandaardiseerde berekening</t>
  </si>
  <si>
    <t>Zelf details invoeren</t>
  </si>
  <si>
    <t>&lt;&lt; maak keuze &gt;&gt;</t>
  </si>
  <si>
    <t>Kies berekeningswijze</t>
  </si>
  <si>
    <t>Toepassen van een damwand</t>
  </si>
  <si>
    <t>Verontreinigingsomvang van de sanering</t>
  </si>
  <si>
    <t>Lengte damwand</t>
  </si>
  <si>
    <t>m</t>
  </si>
  <si>
    <t>Diepte damwand</t>
  </si>
  <si>
    <t>Gebruiksduur damwand</t>
  </si>
  <si>
    <t>ja / nee vraag</t>
  </si>
  <si>
    <t>Ja</t>
  </si>
  <si>
    <t>Nee</t>
  </si>
  <si>
    <t>Ontgraven en verwerken grond op de locatie in depot</t>
  </si>
  <si>
    <t>LDPE filters</t>
  </si>
  <si>
    <t>Geef aan hoeveel in depots c.q. grondstromen de ontgraven grond wordt gesplitst</t>
  </si>
  <si>
    <t>depot(s)</t>
  </si>
  <si>
    <t>Worden de depots voorzien van scheidende laag d.m.v. folie?</t>
  </si>
  <si>
    <t>Hergebruik van depotgrond op de locatie (aanvullen en verdichten)</t>
  </si>
  <si>
    <t>Extern verwerken grondstromen</t>
  </si>
  <si>
    <t>Biologisch (landfarming)</t>
  </si>
  <si>
    <t xml:space="preserve">Type kunstof </t>
  </si>
  <si>
    <t>Type kunstof</t>
  </si>
  <si>
    <t>Overige materialen</t>
  </si>
  <si>
    <t>Verontreinigde grond</t>
  </si>
  <si>
    <t>Verwerker 1</t>
  </si>
  <si>
    <t>Afstand enkele reis</t>
  </si>
  <si>
    <t>Transportmiddel</t>
  </si>
  <si>
    <t>Verwerker 2</t>
  </si>
  <si>
    <t>Verwerker 3</t>
  </si>
  <si>
    <t>Herbruikbare grond elders</t>
  </si>
  <si>
    <t>Externe locatie 1</t>
  </si>
  <si>
    <t>Externe locatie 2</t>
  </si>
  <si>
    <t>Externe locatie 3</t>
  </si>
  <si>
    <t>Externe locatie 4</t>
  </si>
  <si>
    <t>(Verontreinigd) puin</t>
  </si>
  <si>
    <t>Verwerker 4</t>
  </si>
  <si>
    <t>Aanvoer aanvul grond</t>
  </si>
  <si>
    <t>Leverancier 1</t>
  </si>
  <si>
    <t>Leverancier 2</t>
  </si>
  <si>
    <t>Leverancier 3</t>
  </si>
  <si>
    <t>Leverancier 4</t>
  </si>
  <si>
    <t>Aantal transportbewegingen (geschat)</t>
  </si>
  <si>
    <t>Brandstofverbruik transportmiddel (bijv vrachtwagen of transportbus met aanhanger)</t>
  </si>
  <si>
    <t>L brandstof / km</t>
  </si>
  <si>
    <t>Type brandstof</t>
  </si>
  <si>
    <t>Brandstof type a</t>
  </si>
  <si>
    <t xml:space="preserve">Transportmiddel </t>
  </si>
  <si>
    <t>Brandstof type b</t>
  </si>
  <si>
    <t>Elektriciteitsvoorziening a</t>
  </si>
  <si>
    <t>Plaatsen onttrekkingsfilters</t>
  </si>
  <si>
    <t>Verticale filters</t>
  </si>
  <si>
    <t>Einddiepte 1</t>
  </si>
  <si>
    <t>Aantal filters</t>
  </si>
  <si>
    <t>Filterdiameter</t>
  </si>
  <si>
    <t>32 mm</t>
  </si>
  <si>
    <t>50 mm</t>
  </si>
  <si>
    <t>90 mm</t>
  </si>
  <si>
    <t>110 mm</t>
  </si>
  <si>
    <t>Einddiepte 2</t>
  </si>
  <si>
    <t>Einddiepte 3</t>
  </si>
  <si>
    <t>Einddiepte 4</t>
  </si>
  <si>
    <t>Horizontale drains</t>
  </si>
  <si>
    <t>Aantal drains</t>
  </si>
  <si>
    <t>Draindiameter</t>
  </si>
  <si>
    <t>Drainmateriaal</t>
  </si>
  <si>
    <t>Drainlengte 1</t>
  </si>
  <si>
    <t>Drainlengte 2</t>
  </si>
  <si>
    <t>Drainlengte 3</t>
  </si>
  <si>
    <t>Drainlengte 4</t>
  </si>
  <si>
    <t>Onttrekken</t>
  </si>
  <si>
    <t>Transport aanvoer materialen</t>
  </si>
  <si>
    <t>Toepassen dieselaggregaat?</t>
  </si>
  <si>
    <t>Diesel aggregraat</t>
  </si>
  <si>
    <t>Brandstofverbruik</t>
  </si>
  <si>
    <t>liter / uur</t>
  </si>
  <si>
    <t>Vermogen aggregraat</t>
  </si>
  <si>
    <t>2,4 kW</t>
  </si>
  <si>
    <t>6 kW</t>
  </si>
  <si>
    <t>8 kW</t>
  </si>
  <si>
    <t>12 kW</t>
  </si>
  <si>
    <t>13,1 kW</t>
  </si>
  <si>
    <t>48 kW</t>
  </si>
  <si>
    <t>80 kW</t>
  </si>
  <si>
    <t>Gebruiksduur</t>
  </si>
  <si>
    <t>Onttrekkingsduur</t>
  </si>
  <si>
    <t>Onttrekkingsdebiet</t>
  </si>
  <si>
    <t>Elektr.voorz. Onttrekken</t>
  </si>
  <si>
    <t>Pomp op maaiveld</t>
  </si>
  <si>
    <t>Debiet pomp op mv</t>
  </si>
  <si>
    <r>
      <t>5 m</t>
    </r>
    <r>
      <rPr>
        <sz val="10"/>
        <rFont val="Arial"/>
        <family val="2"/>
      </rPr>
      <t>³</t>
    </r>
    <r>
      <rPr>
        <sz val="10"/>
        <rFont val="Arial"/>
        <family val="0"/>
      </rPr>
      <t>/h</t>
    </r>
  </si>
  <si>
    <r>
      <t>10 m</t>
    </r>
    <r>
      <rPr>
        <sz val="10"/>
        <rFont val="Arial"/>
        <family val="2"/>
      </rPr>
      <t>³</t>
    </r>
    <r>
      <rPr>
        <sz val="10"/>
        <rFont val="Arial"/>
        <family val="0"/>
      </rPr>
      <t>/h</t>
    </r>
  </si>
  <si>
    <r>
      <t>15-25 m</t>
    </r>
    <r>
      <rPr>
        <sz val="10"/>
        <rFont val="Arial"/>
        <family val="2"/>
      </rPr>
      <t>³</t>
    </r>
    <r>
      <rPr>
        <sz val="10"/>
        <rFont val="Arial"/>
        <family val="0"/>
      </rPr>
      <t>/h</t>
    </r>
  </si>
  <si>
    <t>50 m³/h</t>
  </si>
  <si>
    <t>Zuiveringsonderdeel</t>
  </si>
  <si>
    <t>Beluchting bufferbasin</t>
  </si>
  <si>
    <t>Debiet beluchtingspomp buffer</t>
  </si>
  <si>
    <t>5-15 m³/h</t>
  </si>
  <si>
    <t>20 m³/h</t>
  </si>
  <si>
    <t>25 m³/h</t>
  </si>
  <si>
    <t>Striptoren</t>
  </si>
  <si>
    <t>Beluchtingspomp</t>
  </si>
  <si>
    <t>Opvoerpomp striptoren</t>
  </si>
  <si>
    <t>Debiet ventilator striptoren</t>
  </si>
  <si>
    <t>20-25 m³/h</t>
  </si>
  <si>
    <r>
      <t>15 m</t>
    </r>
    <r>
      <rPr>
        <sz val="10"/>
        <rFont val="Arial"/>
        <family val="2"/>
      </rPr>
      <t>³</t>
    </r>
    <r>
      <rPr>
        <sz val="10"/>
        <rFont val="Arial"/>
        <family val="0"/>
      </rPr>
      <t>/h</t>
    </r>
  </si>
  <si>
    <t>Lucht actief kool</t>
  </si>
  <si>
    <t>Opvoerpomp zandfilter</t>
  </si>
  <si>
    <t>Ionenwisseling</t>
  </si>
  <si>
    <t>Ionenwisselaar</t>
  </si>
  <si>
    <t>Debiet ionenwisselaar</t>
  </si>
  <si>
    <t>koolfilter en zandfilter</t>
  </si>
  <si>
    <t>Debiet opvoerpomp striptoren,</t>
  </si>
  <si>
    <t>Coagulatie / flucculatie en Precipitatie</t>
  </si>
  <si>
    <t>Te behandelen grondwater</t>
  </si>
  <si>
    <t>Hulpstoffen / chemicaliën</t>
  </si>
  <si>
    <t>Actief kool</t>
  </si>
  <si>
    <t>IJzersulfaat</t>
  </si>
  <si>
    <t>IJzerchloride, FeCl3</t>
  </si>
  <si>
    <t>Afvalstoffen</t>
  </si>
  <si>
    <t>IJzerslib</t>
  </si>
  <si>
    <t>Concentraat ionenwisselaar / omgekeerde osmose</t>
  </si>
  <si>
    <t>Aanleg PLI systeem</t>
  </si>
  <si>
    <t>Injectiefilters</t>
  </si>
  <si>
    <t>Bovengronds leidingwerk</t>
  </si>
  <si>
    <t>Leidinglengte 1</t>
  </si>
  <si>
    <t>Aantal leidingen</t>
  </si>
  <si>
    <t>Leidingmateriaal</t>
  </si>
  <si>
    <t>Leidingdiameter</t>
  </si>
  <si>
    <t>Leidinglengte 2</t>
  </si>
  <si>
    <t>Leidinglengte 3</t>
  </si>
  <si>
    <t>Leidinglengte 4</t>
  </si>
  <si>
    <r>
      <t>Compressoren</t>
    </r>
    <r>
      <rPr>
        <sz val="10"/>
        <color indexed="20"/>
        <rFont val="Arial"/>
        <family val="2"/>
      </rPr>
      <t xml:space="preserve"> </t>
    </r>
    <r>
      <rPr>
        <sz val="8"/>
        <color indexed="20"/>
        <rFont val="Arial"/>
        <family val="2"/>
      </rPr>
      <t>(met overdruk van 2 bar)</t>
    </r>
  </si>
  <si>
    <t>Compressor 100 m³/h</t>
  </si>
  <si>
    <t>Compressor 300 m³/h</t>
  </si>
  <si>
    <t>Compressor 200 m³/h</t>
  </si>
  <si>
    <t>Instandhouden PLI systeem</t>
  </si>
  <si>
    <r>
      <t>Persluchtinjectie met compressor 100 m</t>
    </r>
    <r>
      <rPr>
        <sz val="10"/>
        <color indexed="20"/>
        <rFont val="Arial"/>
        <family val="2"/>
      </rPr>
      <t>³</t>
    </r>
    <r>
      <rPr>
        <sz val="10"/>
        <color indexed="20"/>
        <rFont val="Arial"/>
        <family val="0"/>
      </rPr>
      <t>/h</t>
    </r>
  </si>
  <si>
    <t>weken</t>
  </si>
  <si>
    <r>
      <t>Persluchtinjectie met compressor 300 m</t>
    </r>
    <r>
      <rPr>
        <sz val="10"/>
        <color indexed="20"/>
        <rFont val="Arial"/>
        <family val="2"/>
      </rPr>
      <t>³</t>
    </r>
    <r>
      <rPr>
        <sz val="10"/>
        <color indexed="20"/>
        <rFont val="Arial"/>
        <family val="0"/>
      </rPr>
      <t>/h</t>
    </r>
  </si>
  <si>
    <r>
      <t>Persluchtinjectie met compressor 200 m</t>
    </r>
    <r>
      <rPr>
        <sz val="10"/>
        <color indexed="20"/>
        <rFont val="Arial"/>
        <family val="2"/>
      </rPr>
      <t>³</t>
    </r>
    <r>
      <rPr>
        <sz val="10"/>
        <color indexed="20"/>
        <rFont val="Arial"/>
        <family val="0"/>
      </rPr>
      <t>/h</t>
    </r>
  </si>
  <si>
    <t>Oxidatiereactie PLI</t>
  </si>
  <si>
    <t>Te behandelen bodemvolume</t>
  </si>
  <si>
    <r>
      <t xml:space="preserve">Percentage </t>
    </r>
    <r>
      <rPr>
        <u val="single"/>
        <sz val="10"/>
        <color indexed="20"/>
        <rFont val="Arial"/>
        <family val="2"/>
      </rPr>
      <t>organisch stof</t>
    </r>
    <r>
      <rPr>
        <sz val="10"/>
        <color indexed="20"/>
        <rFont val="Arial"/>
        <family val="2"/>
      </rPr>
      <t xml:space="preserve"> in te behandelen grond</t>
    </r>
  </si>
  <si>
    <r>
      <t>m</t>
    </r>
    <r>
      <rPr>
        <sz val="9"/>
        <color indexed="48"/>
        <rFont val="Arial"/>
        <family val="2"/>
      </rPr>
      <t>³</t>
    </r>
    <r>
      <rPr>
        <sz val="9"/>
        <color indexed="48"/>
        <rFont val="Arial"/>
        <family val="0"/>
      </rPr>
      <t xml:space="preserve"> grond</t>
    </r>
  </si>
  <si>
    <t>%</t>
  </si>
  <si>
    <t>Aanleg BLE systeem en zuivering</t>
  </si>
  <si>
    <t>Onttrekkingsfilters</t>
  </si>
  <si>
    <t>Luchtpomp</t>
  </si>
  <si>
    <t>Luchtpomp 200 m³/h</t>
  </si>
  <si>
    <t>Luchtpomp 600 m³/h</t>
  </si>
  <si>
    <t>Luchtpomp 400 m³/h</t>
  </si>
  <si>
    <t>Luchtzuivering</t>
  </si>
  <si>
    <t>Biobed</t>
  </si>
  <si>
    <t>Ontgraven</t>
  </si>
  <si>
    <t>m³ graafmachine</t>
  </si>
  <si>
    <t>m³ shovel</t>
  </si>
  <si>
    <t>m³ dumper</t>
  </si>
  <si>
    <t>Invoerwaarde VI</t>
  </si>
  <si>
    <t>type brandstof</t>
  </si>
  <si>
    <t>L diesel / ton graafmachine</t>
  </si>
  <si>
    <t>L diesel / ton shovel</t>
  </si>
  <si>
    <t>L diesel / ton dumper</t>
  </si>
  <si>
    <t>kg CO2/L brandstof</t>
  </si>
  <si>
    <t>kg CO2</t>
  </si>
  <si>
    <t>Materialen</t>
  </si>
  <si>
    <t>dichtheid puin</t>
  </si>
  <si>
    <t>soort berekening</t>
  </si>
  <si>
    <t>materiaal</t>
  </si>
  <si>
    <t>m²</t>
  </si>
  <si>
    <t>Maximale depot hoogte</t>
  </si>
  <si>
    <t>mm dikte folie</t>
  </si>
  <si>
    <t>Geotextiel / folie HDPE</t>
  </si>
  <si>
    <t>Damwand</t>
  </si>
  <si>
    <t>Verwerken</t>
  </si>
  <si>
    <t>Hergebruik depot grond</t>
  </si>
  <si>
    <t>Trilmachine tbv verdichten</t>
  </si>
  <si>
    <t>Aangevoerde grond</t>
  </si>
  <si>
    <t>Aangevoerde grond uit winning</t>
  </si>
  <si>
    <t>elektriciteitsvoorziening</t>
  </si>
  <si>
    <t>Biologisch</t>
  </si>
  <si>
    <t>Transport</t>
  </si>
  <si>
    <t>Verontreinigde grond naar verwerker 1</t>
  </si>
  <si>
    <t>Verontreinigde grond naar verwerker 2</t>
  </si>
  <si>
    <t>Verontreinigde grond naar verwerker 3</t>
  </si>
  <si>
    <t>Verontreinigde grond naar verwerker 4</t>
  </si>
  <si>
    <t>transportmiddel</t>
  </si>
  <si>
    <t>Herbruikbare grond elders 1</t>
  </si>
  <si>
    <t>Herbruikbare grond elders 2</t>
  </si>
  <si>
    <t>Herbruikbare grond elders 3</t>
  </si>
  <si>
    <t>Herbruikbare grond elders 4</t>
  </si>
  <si>
    <t>Puin verwerker 1</t>
  </si>
  <si>
    <t>Puin verwerker 2</t>
  </si>
  <si>
    <t>Puin verwerker 3</t>
  </si>
  <si>
    <t>Puin verwerker 4</t>
  </si>
  <si>
    <t>Aanvul grond 1</t>
  </si>
  <si>
    <t>Aanvul grond 2</t>
  </si>
  <si>
    <t>Aanvul grond 3</t>
  </si>
  <si>
    <t>Aanvul grond 4</t>
  </si>
  <si>
    <t>Grondwater onttrekken</t>
  </si>
  <si>
    <t>Aanleg systeem</t>
  </si>
  <si>
    <t>filtermateriaal</t>
  </si>
  <si>
    <t>filterdiameter</t>
  </si>
  <si>
    <t>250 mm</t>
  </si>
  <si>
    <t>(HDPE) pijp 32 mm</t>
  </si>
  <si>
    <t>(HDPE) pijp 50 mm</t>
  </si>
  <si>
    <t>(HDPE) pijp 90 mm</t>
  </si>
  <si>
    <t>(HDPE) pijp 110 mm</t>
  </si>
  <si>
    <t>(HDPE) pijp 250 mm</t>
  </si>
  <si>
    <t>Boorwerk filters</t>
  </si>
  <si>
    <t>Sonic drilling</t>
  </si>
  <si>
    <t>Pulsen</t>
  </si>
  <si>
    <t>Geoprobe</t>
  </si>
  <si>
    <t>Avegaarboren</t>
  </si>
  <si>
    <t>boorwerk dmv</t>
  </si>
  <si>
    <t>Verticale filters - einddiepte 1</t>
  </si>
  <si>
    <t>Verticale filters - einddiepte 2</t>
  </si>
  <si>
    <t>Verticale filters - einddiepte 3</t>
  </si>
  <si>
    <t>Verticale filters - einddiepte 4</t>
  </si>
  <si>
    <t>20 L diesel / dag</t>
  </si>
  <si>
    <t>L diesel / m</t>
  </si>
  <si>
    <t>Aanbrengen met boring verticaal</t>
  </si>
  <si>
    <t>Aanbrengen met boring horizontaal</t>
  </si>
  <si>
    <t>kg CO2 / kg LDPE</t>
  </si>
  <si>
    <t>Horizontale drains - drailengte 1</t>
  </si>
  <si>
    <t>Horizontale drains - drailengte 2</t>
  </si>
  <si>
    <t>Horizontale drains - drailengte 3</t>
  </si>
  <si>
    <t>Horizontale drains - drailengte 4</t>
  </si>
  <si>
    <t>drainmateriaal</t>
  </si>
  <si>
    <t>draindiameter</t>
  </si>
  <si>
    <t>debiet</t>
  </si>
  <si>
    <t>5 m³/h</t>
  </si>
  <si>
    <t>dieselaggregraat ?</t>
  </si>
  <si>
    <t>kg CO2 / L brandstof</t>
  </si>
  <si>
    <t>Grondwater zuiveren</t>
  </si>
  <si>
    <t>0,5 L diesel (?) / ton</t>
  </si>
  <si>
    <t>L diesel / m3</t>
  </si>
  <si>
    <t>schone grond uit winning?</t>
  </si>
  <si>
    <t>debiet pomp</t>
  </si>
  <si>
    <t>debiet ventilator</t>
  </si>
  <si>
    <t>Lucht aktief kool</t>
  </si>
  <si>
    <t>Coagulatie / flocculatie en precipitatie</t>
  </si>
  <si>
    <t>details?</t>
  </si>
  <si>
    <t>Gestandaardiseerde boring</t>
  </si>
  <si>
    <t>Invoerwaarde VII</t>
  </si>
  <si>
    <t>mm straal</t>
  </si>
  <si>
    <t>Instandhouden BLE systeem en zuivering</t>
  </si>
  <si>
    <t>Aanleg MFE systeem</t>
  </si>
  <si>
    <t>Instandhouden MFE systeem</t>
  </si>
  <si>
    <t>DFE unit (0,9 bar)</t>
  </si>
  <si>
    <t>DFE unit 100 Nm³/h</t>
  </si>
  <si>
    <t>DFE unit 200 Nm³/h</t>
  </si>
  <si>
    <t>DFE unit 300 Nm³/h</t>
  </si>
  <si>
    <t>Afvoer en verwerken puur product</t>
  </si>
  <si>
    <t>niet-CKW puur product</t>
  </si>
  <si>
    <t>CKW puur product</t>
  </si>
  <si>
    <t>Aanleg ISCO systeem</t>
  </si>
  <si>
    <t>Doseren oxidator</t>
  </si>
  <si>
    <t>Instandhouden ISCO systeem</t>
  </si>
  <si>
    <t>Directe injectie (direct push) via geoprobe</t>
  </si>
  <si>
    <r>
      <t xml:space="preserve">Injectieduur </t>
    </r>
    <r>
      <rPr>
        <i/>
        <sz val="8"/>
        <color indexed="20"/>
        <rFont val="Arial"/>
        <family val="2"/>
      </rPr>
      <t>operatonele uren injectorpomp</t>
    </r>
  </si>
  <si>
    <t>m³/h</t>
  </si>
  <si>
    <t>Grondwater / lucht</t>
  </si>
  <si>
    <r>
      <t>Hulpstoffen / chemicali</t>
    </r>
    <r>
      <rPr>
        <sz val="10"/>
        <rFont val="Arial"/>
        <family val="2"/>
      </rPr>
      <t>ë</t>
    </r>
    <r>
      <rPr>
        <sz val="10"/>
        <rFont val="Arial"/>
        <family val="0"/>
      </rPr>
      <t>n</t>
    </r>
  </si>
  <si>
    <t>Ijzerchloride</t>
  </si>
  <si>
    <t>Harsen</t>
  </si>
  <si>
    <t>Ijzerslib</t>
  </si>
  <si>
    <t>Concentraat ionenwisselaar / RO</t>
  </si>
  <si>
    <t>In situ saneren PLI en BLE</t>
  </si>
  <si>
    <t>Injectiefilters - einddiepte 1</t>
  </si>
  <si>
    <t>Injectiefilters - einddiepte 2</t>
  </si>
  <si>
    <t>Injectiefilters - einddiepte 3</t>
  </si>
  <si>
    <t>Injectiefilters - einddiepte 4</t>
  </si>
  <si>
    <t>Bovengrondsleidingwerk - lengte 1</t>
  </si>
  <si>
    <t>Bovengrondsleidingwerk - lengte 2</t>
  </si>
  <si>
    <t>Bovengrondsleidingwerk - lengte 3</t>
  </si>
  <si>
    <t>Bovengrondsleidingwerk - lengte 4</t>
  </si>
  <si>
    <t>leidingmateriaal</t>
  </si>
  <si>
    <t>leidingdiameter</t>
  </si>
  <si>
    <t>Instandhouden systeem</t>
  </si>
  <si>
    <r>
      <t>Compressor 100 m</t>
    </r>
    <r>
      <rPr>
        <sz val="10"/>
        <rFont val="Arial"/>
        <family val="2"/>
      </rPr>
      <t>³</t>
    </r>
    <r>
      <rPr>
        <sz val="10"/>
        <rFont val="Arial"/>
        <family val="0"/>
      </rPr>
      <t>/h</t>
    </r>
  </si>
  <si>
    <r>
      <t>Compressor 200 m</t>
    </r>
    <r>
      <rPr>
        <sz val="10"/>
        <rFont val="Arial"/>
        <family val="2"/>
      </rPr>
      <t>³</t>
    </r>
    <r>
      <rPr>
        <sz val="10"/>
        <rFont val="Arial"/>
        <family val="0"/>
      </rPr>
      <t>/h</t>
    </r>
  </si>
  <si>
    <r>
      <t>Compressor 300 m</t>
    </r>
    <r>
      <rPr>
        <sz val="10"/>
        <rFont val="Arial"/>
        <family val="2"/>
      </rPr>
      <t>³</t>
    </r>
    <r>
      <rPr>
        <sz val="10"/>
        <rFont val="Arial"/>
        <family val="0"/>
      </rPr>
      <t>/h</t>
    </r>
  </si>
  <si>
    <t>Oxidatiereactie</t>
  </si>
  <si>
    <t>Verontreinigingsvracht C</t>
  </si>
  <si>
    <t>kg C verontreiniging</t>
  </si>
  <si>
    <t>Aanleg systeem PLI</t>
  </si>
  <si>
    <t>Aanleg systeem BLE</t>
  </si>
  <si>
    <t>Onttrekkingsfilters - einddiepte 1</t>
  </si>
  <si>
    <t>Onttrekkingsfilters - einddiepte 2</t>
  </si>
  <si>
    <t>Onttrekkingsfilters - einddiepte 3</t>
  </si>
  <si>
    <t>Onttrekkingsfilters - einddiepte 4</t>
  </si>
  <si>
    <t>Elektr.voorz. ISCO dosering</t>
  </si>
  <si>
    <r>
      <t xml:space="preserve">Permanganaat </t>
    </r>
    <r>
      <rPr>
        <sz val="8"/>
        <color indexed="20"/>
        <rFont val="Arial"/>
        <family val="2"/>
      </rPr>
      <t>(40% in water)</t>
    </r>
  </si>
  <si>
    <r>
      <t xml:space="preserve">Waterstofperoxide </t>
    </r>
    <r>
      <rPr>
        <sz val="8"/>
        <color indexed="20"/>
        <rFont val="Arial"/>
        <family val="2"/>
      </rPr>
      <t>(50% in water)</t>
    </r>
  </si>
  <si>
    <t>Oxidator</t>
  </si>
  <si>
    <t>Aanleg Biostimulatie systeem</t>
  </si>
  <si>
    <r>
      <t>Directe injectie (</t>
    </r>
    <r>
      <rPr>
        <i/>
        <u val="single"/>
        <sz val="10"/>
        <color indexed="20"/>
        <rFont val="Arial"/>
        <family val="2"/>
      </rPr>
      <t>direct push</t>
    </r>
    <r>
      <rPr>
        <u val="single"/>
        <sz val="10"/>
        <color indexed="20"/>
        <rFont val="Arial"/>
        <family val="2"/>
      </rPr>
      <t>)</t>
    </r>
  </si>
  <si>
    <t>Operationeel gebruik van injectielans (geoprobe)</t>
  </si>
  <si>
    <t>Kies type brandstof</t>
  </si>
  <si>
    <t>Injector</t>
  </si>
  <si>
    <t>Operationele uren injector (injectieduur)</t>
  </si>
  <si>
    <t>Elektr.voorz. bisotim dosering</t>
  </si>
  <si>
    <t>Type substraat</t>
  </si>
  <si>
    <t>Melasse</t>
  </si>
  <si>
    <t>Soja olie</t>
  </si>
  <si>
    <t>Tijdens sanering</t>
  </si>
  <si>
    <t>Aanwezigheid toezichthouder</t>
  </si>
  <si>
    <t>Duur aanwezigheid</t>
  </si>
  <si>
    <t>Brandstof verbruik</t>
  </si>
  <si>
    <t>Aanwezigheid directievoerder</t>
  </si>
  <si>
    <t>Aanwezigheid milieukundig begeleider</t>
  </si>
  <si>
    <t>Aanwezigheid onderhoudsmonteur</t>
  </si>
  <si>
    <t>Tijdens monitoring / nazorg</t>
  </si>
  <si>
    <t>Bemonsteringen grond of grondwater door veldmedewerker</t>
  </si>
  <si>
    <t>Duur veldwerk</t>
  </si>
  <si>
    <r>
      <t>Luchtpomp 200 m</t>
    </r>
    <r>
      <rPr>
        <sz val="10"/>
        <rFont val="Arial"/>
        <family val="2"/>
      </rPr>
      <t>³</t>
    </r>
    <r>
      <rPr>
        <sz val="10"/>
        <rFont val="Arial"/>
        <family val="0"/>
      </rPr>
      <t>/h</t>
    </r>
  </si>
  <si>
    <r>
      <t>Luchtpomp 400 m</t>
    </r>
    <r>
      <rPr>
        <sz val="10"/>
        <rFont val="Arial"/>
        <family val="2"/>
      </rPr>
      <t>³</t>
    </r>
    <r>
      <rPr>
        <sz val="10"/>
        <rFont val="Arial"/>
        <family val="0"/>
      </rPr>
      <t>/h</t>
    </r>
  </si>
  <si>
    <r>
      <t>Luchtpomp 600 m</t>
    </r>
    <r>
      <rPr>
        <sz val="10"/>
        <rFont val="Arial"/>
        <family val="2"/>
      </rPr>
      <t>³</t>
    </r>
    <r>
      <rPr>
        <sz val="10"/>
        <rFont val="Arial"/>
        <family val="0"/>
      </rPr>
      <t>/h</t>
    </r>
  </si>
  <si>
    <t>Luchtpomp BLE van 200 m3/h</t>
  </si>
  <si>
    <t>Luchtpomp BLE van 400 m3/h</t>
  </si>
  <si>
    <t>Luchtpomp BLE van 600 m3/h</t>
  </si>
  <si>
    <t>Operationele duur</t>
  </si>
  <si>
    <t>Luchtzuivering actief kool</t>
  </si>
  <si>
    <t>Luchtzuivering biobed</t>
  </si>
  <si>
    <t>Luchtzuivering katalytische verbranding</t>
  </si>
  <si>
    <t>In situ saneren MFE</t>
  </si>
  <si>
    <r>
      <t>DFE-unit 100 Nm</t>
    </r>
    <r>
      <rPr>
        <sz val="10"/>
        <rFont val="Arial"/>
        <family val="2"/>
      </rPr>
      <t>³</t>
    </r>
    <r>
      <rPr>
        <sz val="10"/>
        <rFont val="Arial"/>
        <family val="0"/>
      </rPr>
      <t>/h</t>
    </r>
  </si>
  <si>
    <r>
      <t>DFE-unit 200 Nm</t>
    </r>
    <r>
      <rPr>
        <sz val="10"/>
        <rFont val="Arial"/>
        <family val="2"/>
      </rPr>
      <t>³</t>
    </r>
    <r>
      <rPr>
        <sz val="10"/>
        <rFont val="Arial"/>
        <family val="0"/>
      </rPr>
      <t>/h</t>
    </r>
  </si>
  <si>
    <r>
      <t>DFE-unit 300 Nm</t>
    </r>
    <r>
      <rPr>
        <sz val="10"/>
        <rFont val="Arial"/>
        <family val="2"/>
      </rPr>
      <t>³</t>
    </r>
    <r>
      <rPr>
        <sz val="10"/>
        <rFont val="Arial"/>
        <family val="0"/>
      </rPr>
      <t>/h</t>
    </r>
  </si>
  <si>
    <t>Afvoer en verwerken - niet CKW product</t>
  </si>
  <si>
    <t>Afvoer en verwerken - CKW product</t>
  </si>
  <si>
    <t>In situ saneren ISCO</t>
  </si>
  <si>
    <t>Injecteren</t>
  </si>
  <si>
    <t>Doseren oxidator - directe injectie</t>
  </si>
  <si>
    <t>Doseren oxidator - injector</t>
  </si>
  <si>
    <t>In situ saneren Biostimulatie</t>
  </si>
  <si>
    <t>Uitvoerscherm</t>
  </si>
  <si>
    <t>Ontgraven landbodem</t>
  </si>
  <si>
    <t>Doseren substraat - directe injectie</t>
  </si>
  <si>
    <t>Doseren substraat - injector</t>
  </si>
  <si>
    <t>Substraatreactie</t>
  </si>
  <si>
    <t>Toezicht en Nazorg</t>
  </si>
  <si>
    <t>toezichthouder</t>
  </si>
  <si>
    <t>directievoerder</t>
  </si>
  <si>
    <t>milieukundig begeleider</t>
  </si>
  <si>
    <t>onderhoudsmonteur</t>
  </si>
  <si>
    <t>veldmedewerker</t>
  </si>
  <si>
    <r>
      <t>Hulpstoffen / chemicali</t>
    </r>
    <r>
      <rPr>
        <b/>
        <sz val="10"/>
        <color indexed="14"/>
        <rFont val="Calibri"/>
        <family val="2"/>
      </rPr>
      <t>ё</t>
    </r>
    <r>
      <rPr>
        <b/>
        <i/>
        <sz val="10"/>
        <color indexed="14"/>
        <rFont val="Arial"/>
        <family val="2"/>
      </rPr>
      <t>n</t>
    </r>
  </si>
  <si>
    <t>Op de locatie verwerken grondstromen</t>
  </si>
  <si>
    <t>PLI en BLE (in situ)</t>
  </si>
  <si>
    <t>ISCO</t>
  </si>
  <si>
    <t>Behandeld volume grond</t>
  </si>
  <si>
    <t>EMISSIE    :</t>
  </si>
  <si>
    <t>Gemiddeld gehalte verontreiniging</t>
  </si>
  <si>
    <t>mg/kg ds grond</t>
  </si>
  <si>
    <t>µg/l grondwater</t>
  </si>
  <si>
    <t>Verwijderde vracht</t>
  </si>
  <si>
    <t xml:space="preserve">Terugsaneerwaarde/eindgehalte </t>
  </si>
  <si>
    <t>Huishoud equivalenten</t>
  </si>
  <si>
    <t>Algemene gegevens verontreinigingssituatie</t>
  </si>
  <si>
    <t>Deepwell pomp (5 m3/h)</t>
  </si>
  <si>
    <t>Deepwell pomp (10 m3/h)</t>
  </si>
  <si>
    <t>Deepwell pomp (15-25 m3/h)</t>
  </si>
  <si>
    <t>Deepwell pomp (50 m3/h)</t>
  </si>
  <si>
    <t>Deepwell pomp (100 m3/h)</t>
  </si>
  <si>
    <t>Deepwell pomp (200 m3/h)</t>
  </si>
  <si>
    <r>
      <t>100 m</t>
    </r>
    <r>
      <rPr>
        <sz val="10"/>
        <rFont val="Arial"/>
        <family val="0"/>
      </rPr>
      <t>³/h</t>
    </r>
  </si>
  <si>
    <t>200 m³/h</t>
  </si>
  <si>
    <t>Debiet koolfilter wordt automatisch bepaald a.d.h.v. gegevens striptoren</t>
  </si>
  <si>
    <t>m3/h</t>
  </si>
  <si>
    <t>kg CO2 / kg permanganaat</t>
  </si>
  <si>
    <t>In situ saneren Thermisch</t>
  </si>
  <si>
    <t>Instandhouden Thermisch systeem</t>
  </si>
  <si>
    <r>
      <t>m</t>
    </r>
    <r>
      <rPr>
        <sz val="9"/>
        <color indexed="48"/>
        <rFont val="Arial"/>
        <family val="2"/>
      </rPr>
      <t>³</t>
    </r>
  </si>
  <si>
    <t>Onttrekkingsfilter - einddiepte 1</t>
  </si>
  <si>
    <t>Onttrekkingsfilter - einddiepte 2</t>
  </si>
  <si>
    <t>Onttrekkingsfilter - einddiepte 3</t>
  </si>
  <si>
    <t>Onttrekkingsfilter - einddiepte 4</t>
  </si>
  <si>
    <t>Elektrode lengte</t>
  </si>
  <si>
    <t>Verwarming middels "three phase heating"</t>
  </si>
  <si>
    <t>Verwarming middels "stoom gestimuleerde extractie"</t>
  </si>
  <si>
    <t>DFE-unit tbv MFE 100 Nm3/h</t>
  </si>
  <si>
    <t>DFE-unit tbv MFE 200 Nm3/h</t>
  </si>
  <si>
    <t>DFE-unit tbv MFE300 Nm3/h</t>
  </si>
  <si>
    <t>Verwarmingselement (ISTD)</t>
  </si>
  <si>
    <t>Stoominjectiefilters</t>
  </si>
  <si>
    <t>Elektrode (massief carbon staal 20 mm)</t>
  </si>
  <si>
    <t>Aantal elektrodes</t>
  </si>
  <si>
    <t>Verwarmingselement</t>
  </si>
  <si>
    <t>Aantal elementen</t>
  </si>
  <si>
    <t>Verwarming middels "verwarmingselement" (ISTD)</t>
  </si>
  <si>
    <t>Stoominjectiefilters - einddiepte 1</t>
  </si>
  <si>
    <t>Stoominjectiefilters - einddiepte 2</t>
  </si>
  <si>
    <t>Stoominjectiefilters - einddiepte 3</t>
  </si>
  <si>
    <t>Stoominjectiefilters - einddiepte 4</t>
  </si>
  <si>
    <t>Elektrode - einddiepte 1</t>
  </si>
  <si>
    <t>Elektrode - einddiepte 2</t>
  </si>
  <si>
    <t>Elektrode - einddiepte 3</t>
  </si>
  <si>
    <t>Elektrode - einddiepte 4</t>
  </si>
  <si>
    <t>Verwarmingselement - einddiepte 1</t>
  </si>
  <si>
    <t>Verwarmingselement - einddiepte 2</t>
  </si>
  <si>
    <t>Verwarmingselement - einddiepte 3</t>
  </si>
  <si>
    <t>Verwarmingselement - einddiepte 4</t>
  </si>
  <si>
    <t>Berekening Emile Marnette, Tauw</t>
  </si>
  <si>
    <t>Verwarming middels "verwarmingselementen"</t>
  </si>
  <si>
    <t>Toezichthouder</t>
  </si>
  <si>
    <t>Directievoerder</t>
  </si>
  <si>
    <t>Milieukundig begeleider</t>
  </si>
  <si>
    <t>Onderhoudsmonteur</t>
  </si>
  <si>
    <t>Veldmedewerker</t>
  </si>
  <si>
    <t>melasse</t>
  </si>
  <si>
    <t xml:space="preserve">protamylasse </t>
  </si>
  <si>
    <t xml:space="preserve">soja olie  </t>
  </si>
  <si>
    <t>Verbrandingsreactie in de bodem</t>
  </si>
  <si>
    <t>Thermisch systeem</t>
  </si>
  <si>
    <t>Kies het type componenten dat met de thermische in situ sanering verwijderd wordt</t>
  </si>
  <si>
    <t>Type componenten</t>
  </si>
  <si>
    <t>Lichte componenten</t>
  </si>
  <si>
    <t>Zware componenten</t>
  </si>
  <si>
    <r>
      <t xml:space="preserve">Percentage </t>
    </r>
    <r>
      <rPr>
        <u val="single"/>
        <sz val="10"/>
        <color indexed="20"/>
        <rFont val="Arial"/>
        <family val="2"/>
      </rPr>
      <t xml:space="preserve">organisch stof </t>
    </r>
    <r>
      <rPr>
        <sz val="10"/>
        <color indexed="20"/>
        <rFont val="Arial"/>
        <family val="0"/>
      </rPr>
      <t>in de bodem</t>
    </r>
  </si>
  <si>
    <t>Verontreinigingsvracht</t>
  </si>
  <si>
    <t>kg C</t>
  </si>
  <si>
    <t>Oxidatie reactie</t>
  </si>
  <si>
    <t>type componenten</t>
  </si>
  <si>
    <t>% org. C</t>
  </si>
  <si>
    <t>kg CO2 / kg persulfaat</t>
  </si>
  <si>
    <t>Aangevoerde aanvulgrond verwerken</t>
  </si>
  <si>
    <t>kg kool</t>
  </si>
  <si>
    <t>m³ lucht</t>
  </si>
  <si>
    <t>Biofiltratie (Biobed)</t>
  </si>
  <si>
    <t xml:space="preserve"> = er ontbreekt nog iets in de berekening</t>
  </si>
  <si>
    <t xml:space="preserve"> = uitgangspunten berekening checken / overleggen</t>
  </si>
  <si>
    <t>Overige varianten</t>
  </si>
  <si>
    <t>Toepassen van materiaal</t>
  </si>
  <si>
    <t>Filters</t>
  </si>
  <si>
    <t>Type 1</t>
  </si>
  <si>
    <t>Type 2</t>
  </si>
  <si>
    <t>Type 3</t>
  </si>
  <si>
    <t>Type 4</t>
  </si>
  <si>
    <t>Totale lengte</t>
  </si>
  <si>
    <t>Type 5</t>
  </si>
  <si>
    <t>Type 6</t>
  </si>
  <si>
    <t>Type 7</t>
  </si>
  <si>
    <t>Type 8</t>
  </si>
  <si>
    <t>Overige hulpstoffen</t>
  </si>
  <si>
    <t>Ammoniumfosfaat</t>
  </si>
  <si>
    <t>Ammoniumnitraat</t>
  </si>
  <si>
    <t>Na-tri-fosfaat</t>
  </si>
  <si>
    <t>Substraat en hulpstoffen</t>
  </si>
  <si>
    <t>Te rijden km</t>
  </si>
  <si>
    <t>Transport 1</t>
  </si>
  <si>
    <t>Transport 2</t>
  </si>
  <si>
    <t>Transport 3</t>
  </si>
  <si>
    <t>Transport 4</t>
  </si>
  <si>
    <t>Boorwerk</t>
  </si>
  <si>
    <t>Horizontaal gestuurd</t>
  </si>
  <si>
    <t>Aggregaat</t>
  </si>
  <si>
    <t>aggregraat kW</t>
  </si>
  <si>
    <t>kW</t>
  </si>
  <si>
    <t>dagen (gebruiksduur)</t>
  </si>
  <si>
    <t>Materiaal</t>
  </si>
  <si>
    <t xml:space="preserve"> = check omrekenwaarde op datablad</t>
  </si>
  <si>
    <t>kg CO2 / m</t>
  </si>
  <si>
    <t>50 L diesel / uur vs 100-750 ton/uur capaciteit</t>
  </si>
  <si>
    <t>voorlopig niet meenemen =&gt; geen omrekendata beschikbaar</t>
  </si>
  <si>
    <t>kg CO2 / kg kool</t>
  </si>
  <si>
    <t>regeneratie met stoom</t>
  </si>
  <si>
    <t>Afvoer en verwerken</t>
  </si>
  <si>
    <t>puurproduct</t>
  </si>
  <si>
    <t>niet CKW-product</t>
  </si>
  <si>
    <t>CKW-product</t>
  </si>
  <si>
    <t>uitgaande van TRI</t>
  </si>
  <si>
    <t>kg CO2 / kg product</t>
  </si>
  <si>
    <t>komt overeen met biologische afbraak</t>
  </si>
  <si>
    <t>afvalstoffen zuivering</t>
  </si>
  <si>
    <t>Aktief kool (verbranden)</t>
  </si>
  <si>
    <t>ijzerslib (transport tbv stort)</t>
  </si>
  <si>
    <t>L per tankwagen</t>
  </si>
  <si>
    <t>4% slurry ijzerslib wordt gestort &gt;&gt;</t>
  </si>
  <si>
    <t>kg / L</t>
  </si>
  <si>
    <t xml:space="preserve">Concentraat ionenwisselaar </t>
  </si>
  <si>
    <t>(neutraliseren met loog, filtreren en dan storten)</t>
  </si>
  <si>
    <t>kg CO2 / kg ijzerslib</t>
  </si>
  <si>
    <t>1 kg concentraat (van 50% zoutzuur) behoeft 2 kg loog</t>
  </si>
  <si>
    <t>kg CO2 / kg concentraat tbv neutralisatie</t>
  </si>
  <si>
    <t>20% van geconcentraat =&gt; transport tbv stort ===&gt;&gt; transport is verwaarloosbaar</t>
  </si>
  <si>
    <t>kg CO2 / kg concentraat</t>
  </si>
  <si>
    <t>SenterNovem 2006 (Ecofys)</t>
  </si>
  <si>
    <t>Bron: o.a. TU Eindhoven</t>
  </si>
  <si>
    <t>Vermogen dieselaggregaat in kW</t>
  </si>
  <si>
    <t>Voer de projectgegevens in en klik op de knoppen om de invoervelden voor het betreffende onderdeel te laten verschijnen.</t>
  </si>
  <si>
    <t>Beluchting bufferbassin</t>
  </si>
  <si>
    <r>
      <t>ton CO</t>
    </r>
    <r>
      <rPr>
        <b/>
        <sz val="10"/>
        <color indexed="48"/>
        <rFont val="Calibri"/>
        <family val="2"/>
      </rPr>
      <t>₂</t>
    </r>
  </si>
  <si>
    <r>
      <t>ton CO</t>
    </r>
    <r>
      <rPr>
        <b/>
        <sz val="10"/>
        <color indexed="48"/>
        <rFont val="Calibri"/>
        <family val="2"/>
      </rPr>
      <t>₂ per kg verwijderde verontreiniging</t>
    </r>
  </si>
  <si>
    <r>
      <t>ton CO</t>
    </r>
    <r>
      <rPr>
        <b/>
        <sz val="10"/>
        <color indexed="48"/>
        <rFont val="Calibri"/>
        <family val="2"/>
      </rPr>
      <t>₂ per m</t>
    </r>
    <r>
      <rPr>
        <b/>
        <sz val="10"/>
        <color indexed="48"/>
        <rFont val="Arial"/>
        <family val="2"/>
      </rPr>
      <t>³</t>
    </r>
    <r>
      <rPr>
        <b/>
        <sz val="10"/>
        <color indexed="48"/>
        <rFont val="Calibri"/>
        <family val="2"/>
      </rPr>
      <t xml:space="preserve"> verontreinigde grond</t>
    </r>
  </si>
  <si>
    <r>
      <t>ton CO</t>
    </r>
    <r>
      <rPr>
        <sz val="8"/>
        <rFont val="Calibri"/>
        <family val="2"/>
      </rPr>
      <t>₂</t>
    </r>
  </si>
  <si>
    <t>Grijze stroom</t>
  </si>
  <si>
    <t xml:space="preserve">De resultaten op het uitvoerscherm betreffen gemiddelde waarden, </t>
  </si>
  <si>
    <t>de minimale en maximale waarden zijn per onderdeel gegeven op het tabblad berekeningen.</t>
  </si>
  <si>
    <t>Aangevoerde grond afkomstig uit een grondwinning?</t>
  </si>
  <si>
    <t>Tijdelijke damwand</t>
  </si>
  <si>
    <t>Blijvende damwand</t>
  </si>
  <si>
    <t>gebruiksduur damwand</t>
  </si>
  <si>
    <t>Transport grondstromen (extern transport)</t>
  </si>
  <si>
    <t>Kies vervoersmiddel</t>
  </si>
  <si>
    <t>Bus met aanhanger</t>
  </si>
  <si>
    <t>Bus / transporter</t>
  </si>
  <si>
    <t>Personenauto</t>
  </si>
  <si>
    <t>Brandstofverbruik vervoersmiddel</t>
  </si>
  <si>
    <t>afschrijving tijdelijke damwand 15%, bijlvende damwand 100%</t>
  </si>
  <si>
    <r>
      <t>m</t>
    </r>
    <r>
      <rPr>
        <sz val="9"/>
        <color indexed="48"/>
        <rFont val="Arial"/>
        <family val="2"/>
      </rPr>
      <t>³</t>
    </r>
    <r>
      <rPr>
        <sz val="9"/>
        <color indexed="48"/>
        <rFont val="Arial"/>
        <family val="0"/>
      </rPr>
      <t xml:space="preserve"> grondwater</t>
    </r>
  </si>
  <si>
    <t>Bron / referentie</t>
  </si>
  <si>
    <t>Instituut voor toegepaste milieu economie (2003)</t>
  </si>
  <si>
    <t>W-t-T Report EU, 2008</t>
  </si>
  <si>
    <t>Wikipedia, 2008</t>
  </si>
  <si>
    <t>Publicatieblad EG Richtlijn 1999/100/EG (15-12-99)</t>
  </si>
  <si>
    <t>Brandstofmix grijs (aardgas, kolen en olie)</t>
  </si>
  <si>
    <t>Bionieuws (2004)</t>
  </si>
  <si>
    <t>41% biomassa, 41% water, 18% wind (Essent, 2007)</t>
  </si>
  <si>
    <t>MilieuCentraal.nl (december 2008)</t>
  </si>
  <si>
    <t>Tauw</t>
  </si>
  <si>
    <t>Richtlijn, herstel en beheer bodemkwaliteit</t>
  </si>
  <si>
    <t>Richtlijn, herstel en beheer bodemkwaliteit en mede gebasseerd op energieverbruik door natte reiniging  en sedimentatie</t>
  </si>
  <si>
    <t>Richtlijn, herstel en beheer bodemkwaliteit en BSN Bodemsanering Nederland</t>
  </si>
  <si>
    <t>Tauw, Groundwater Technology</t>
  </si>
  <si>
    <t>waarde afgeleidt</t>
  </si>
  <si>
    <t>Heijmans, Tauw</t>
  </si>
  <si>
    <t>Ecofys, Simapro</t>
  </si>
  <si>
    <t>Elektriciteit</t>
  </si>
  <si>
    <t>Ecofys, Tauw</t>
  </si>
  <si>
    <t>Grobotech (Dinand Rouwenhorst)</t>
  </si>
  <si>
    <t>Ecofys</t>
  </si>
  <si>
    <t>Actief kool (productie nieuw kool)</t>
  </si>
  <si>
    <t>Actief kool (productie geregenereerd kool)</t>
  </si>
  <si>
    <t>MFE (in situ)</t>
  </si>
  <si>
    <t>Ventilator stripper (15-25 m3/h)</t>
  </si>
  <si>
    <t>Verwarming middels "three phase heating" (TPH)</t>
  </si>
  <si>
    <t>Verwarming middels "stoom gestimuleerde extractie" (SGE)</t>
  </si>
  <si>
    <t>Three phase heating (TPH)</t>
  </si>
  <si>
    <t>Stoom gestimuleerde extratie (SGE)</t>
  </si>
  <si>
    <t>doorslaggevende onderdelen in de berekening van het model</t>
  </si>
  <si>
    <t>Legenda</t>
  </si>
  <si>
    <t>Water actief kool</t>
  </si>
  <si>
    <t>Opvoerpomp koolfilter</t>
  </si>
  <si>
    <t>Water aktief kool</t>
  </si>
  <si>
    <t>Kies type brandstof voor in te zetten machines</t>
  </si>
  <si>
    <t>Elektriciteitsvoorziening verdichten</t>
  </si>
  <si>
    <t>type brandstof machines</t>
  </si>
  <si>
    <t>kg CO2 / L (bio)diesel</t>
  </si>
  <si>
    <t>Vracht koolstof</t>
  </si>
  <si>
    <t>kg drooggewicht</t>
  </si>
  <si>
    <t>RIVM, rapport 772404401, Grondwaterzuivering bij bodemsanering, januari 1995</t>
  </si>
  <si>
    <t>1.3.1</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</si>
</sst>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quot;€&quot;\ #,##0_);\(&quot;€&quot;\ #,##0\)"/>
    <numFmt numFmtId="175" formatCode="&quot;€&quot;\ #,##0_);[Red]\(&quot;€&quot;\ #,##0\)"/>
    <numFmt numFmtId="176" formatCode="&quot;€&quot;\ #,##0.00_);\(&quot;€&quot;\ #,##0.00\)"/>
    <numFmt numFmtId="177" formatCode="&quot;€&quot;\ #,##0.00_);[Red]\(&quot;€&quot;\ #,##0.00\)"/>
    <numFmt numFmtId="178" formatCode="_(&quot;€&quot;\ * #,##0_);_(&quot;€&quot;\ * \(#,##0\);_(&quot;€&quot;\ * &quot;-&quot;_);_(@_)"/>
    <numFmt numFmtId="179" formatCode="_(* #,##0_);_(* \(#,##0\);_(* &quot;-&quot;_);_(@_)"/>
    <numFmt numFmtId="180" formatCode="_(&quot;€&quot;\ * #,##0.00_);_(&quot;€&quot;\ * \(#,##0.00\);_(&quot;€&quot;\ * &quot;-&quot;??_);_(@_)"/>
    <numFmt numFmtId="181" formatCode="_(* #,##0.00_);_(* \(#,##0.00\);_(* &quot;-&quot;??_);_(@_)"/>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413]d\ mmmm\ yyyy;@"/>
    <numFmt numFmtId="191" formatCode="&quot;Ja&quot;;&quot;Ja&quot;;&quot;Nee&quot;"/>
    <numFmt numFmtId="192" formatCode="&quot;Waar&quot;;&quot;Waar&quot;;&quot;Niet waar&quot;"/>
    <numFmt numFmtId="193" formatCode="&quot;Aan&quot;;&quot;Aan&quot;;&quot;Uit&quot;"/>
    <numFmt numFmtId="194" formatCode="[$€-2]\ #.##000_);[Red]\([$€-2]\ #.##000\)"/>
    <numFmt numFmtId="195" formatCode="0.000"/>
    <numFmt numFmtId="196" formatCode="0.0"/>
    <numFmt numFmtId="197" formatCode="0.0000"/>
    <numFmt numFmtId="198" formatCode="0.0000000"/>
    <numFmt numFmtId="199" formatCode="0.000000"/>
    <numFmt numFmtId="200" formatCode="0.00000"/>
    <numFmt numFmtId="201" formatCode="0.000000000"/>
    <numFmt numFmtId="202" formatCode="0.00000000"/>
    <numFmt numFmtId="203" formatCode="[$-413]dddd\ d\ mmmm\ yyyy"/>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quot;€&quot;* #,##0.00_-;_-&quot;€&quot;* #,##0.00\-;_-&quot;€&quot;* &quot;-&quot;??_-;_-@_-"/>
    <numFmt numFmtId="210" formatCode="#,#00"/>
    <numFmt numFmtId="211" formatCode="#,##0.0"/>
    <numFmt numFmtId="212" formatCode="#.##00"/>
    <numFmt numFmtId="213" formatCode="#.##0"/>
    <numFmt numFmtId="214" formatCode="0,000"/>
    <numFmt numFmtId="215" formatCode="#,##0.000"/>
    <numFmt numFmtId="216" formatCode="#,##0.0000"/>
  </numFmts>
  <fonts count="136">
    <font>
      <sz val="10"/>
      <name val="Arial"/>
      <family val="0"/>
    </font>
    <font>
      <b/>
      <sz val="12"/>
      <color indexed="20"/>
      <name val="Arial"/>
      <family val="2"/>
    </font>
    <font>
      <b/>
      <vertAlign val="subscript"/>
      <sz val="12"/>
      <color indexed="20"/>
      <name val="Arial"/>
      <family val="2"/>
    </font>
    <font>
      <b/>
      <sz val="7"/>
      <color indexed="20"/>
      <name val="Arial"/>
      <family val="2"/>
    </font>
    <font>
      <sz val="7"/>
      <color indexed="20"/>
      <name val="Arial"/>
      <family val="2"/>
    </font>
    <font>
      <b/>
      <u val="single"/>
      <sz val="10"/>
      <color indexed="20"/>
      <name val="Arial"/>
      <family val="2"/>
    </font>
    <font>
      <sz val="10"/>
      <color indexed="20"/>
      <name val="Arial"/>
      <family val="2"/>
    </font>
    <font>
      <b/>
      <sz val="8"/>
      <color indexed="20"/>
      <name val="Arial"/>
      <family val="2"/>
    </font>
    <font>
      <sz val="12"/>
      <name val="Arial"/>
      <family val="0"/>
    </font>
    <font>
      <sz val="8"/>
      <color indexed="48"/>
      <name val="Arial"/>
      <family val="2"/>
    </font>
    <font>
      <sz val="8"/>
      <name val="Arial"/>
      <family val="2"/>
    </font>
    <font>
      <b/>
      <sz val="10"/>
      <color indexed="48"/>
      <name val="Arial"/>
      <family val="2"/>
    </font>
    <font>
      <b/>
      <sz val="10"/>
      <color indexed="20"/>
      <name val="Arial"/>
      <family val="2"/>
    </font>
    <font>
      <sz val="8"/>
      <color indexed="22"/>
      <name val="Arial"/>
      <family val="0"/>
    </font>
    <font>
      <i/>
      <sz val="10"/>
      <name val="Arial"/>
      <family val="2"/>
    </font>
    <font>
      <i/>
      <sz val="8"/>
      <name val="Arial"/>
      <family val="2"/>
    </font>
    <font>
      <b/>
      <sz val="8"/>
      <color indexed="48"/>
      <name val="Arial"/>
      <family val="2"/>
    </font>
    <font>
      <sz val="6"/>
      <name val="Arial"/>
      <family val="0"/>
    </font>
    <font>
      <sz val="4"/>
      <name val="Arial"/>
      <family val="0"/>
    </font>
    <font>
      <sz val="9"/>
      <color indexed="48"/>
      <name val="Arial"/>
      <family val="2"/>
    </font>
    <font>
      <sz val="4"/>
      <color indexed="48"/>
      <name val="Arial"/>
      <family val="0"/>
    </font>
    <font>
      <b/>
      <u val="single"/>
      <sz val="10"/>
      <color indexed="48"/>
      <name val="Arial"/>
      <family val="2"/>
    </font>
    <font>
      <u val="single"/>
      <sz val="10"/>
      <color indexed="36"/>
      <name val="Arial"/>
      <family val="0"/>
    </font>
    <font>
      <u val="single"/>
      <sz val="10"/>
      <color indexed="12"/>
      <name val="Arial"/>
      <family val="0"/>
    </font>
    <font>
      <b/>
      <sz val="10"/>
      <name val="Arial"/>
      <family val="2"/>
    </font>
    <font>
      <strike/>
      <sz val="8"/>
      <color indexed="55"/>
      <name val="Arial"/>
      <family val="0"/>
    </font>
    <font>
      <b/>
      <sz val="12"/>
      <color indexed="48"/>
      <name val="Arial"/>
      <family val="2"/>
    </font>
    <font>
      <sz val="12"/>
      <color indexed="48"/>
      <name val="Arial"/>
      <family val="2"/>
    </font>
    <font>
      <i/>
      <sz val="12"/>
      <color indexed="48"/>
      <name val="Arial"/>
      <family val="2"/>
    </font>
    <font>
      <strike/>
      <sz val="10"/>
      <color indexed="55"/>
      <name val="Arial"/>
      <family val="0"/>
    </font>
    <font>
      <sz val="10"/>
      <color indexed="10"/>
      <name val="Arial"/>
      <family val="0"/>
    </font>
    <font>
      <i/>
      <sz val="10"/>
      <color indexed="20"/>
      <name val="Arial"/>
      <family val="2"/>
    </font>
    <font>
      <b/>
      <u val="single"/>
      <sz val="12"/>
      <color indexed="48"/>
      <name val="Arial"/>
      <family val="2"/>
    </font>
    <font>
      <b/>
      <i/>
      <sz val="8"/>
      <name val="Arial"/>
      <family val="2"/>
    </font>
    <font>
      <b/>
      <sz val="4"/>
      <color indexed="20"/>
      <name val="Arial"/>
      <family val="0"/>
    </font>
    <font>
      <i/>
      <sz val="10"/>
      <color indexed="48"/>
      <name val="Arial"/>
      <family val="2"/>
    </font>
    <font>
      <sz val="9"/>
      <color indexed="20"/>
      <name val="Arial"/>
      <family val="2"/>
    </font>
    <font>
      <sz val="10"/>
      <color indexed="48"/>
      <name val="Arial"/>
      <family val="0"/>
    </font>
    <font>
      <sz val="8"/>
      <color indexed="10"/>
      <name val="Arial"/>
      <family val="0"/>
    </font>
    <font>
      <i/>
      <sz val="8"/>
      <color indexed="20"/>
      <name val="Arial"/>
      <family val="2"/>
    </font>
    <font>
      <sz val="5"/>
      <name val="Arial"/>
      <family val="0"/>
    </font>
    <font>
      <u val="single"/>
      <sz val="10"/>
      <name val="Arial"/>
      <family val="0"/>
    </font>
    <font>
      <i/>
      <sz val="9"/>
      <color indexed="48"/>
      <name val="Arial"/>
      <family val="2"/>
    </font>
    <font>
      <b/>
      <sz val="5"/>
      <color indexed="20"/>
      <name val="Arial"/>
      <family val="0"/>
    </font>
    <font>
      <sz val="10"/>
      <color indexed="23"/>
      <name val="Arial"/>
      <family val="0"/>
    </font>
    <font>
      <sz val="9"/>
      <color indexed="23"/>
      <name val="Arial"/>
      <family val="0"/>
    </font>
    <font>
      <sz val="8"/>
      <color indexed="63"/>
      <name val="Arial"/>
      <family val="2"/>
    </font>
    <font>
      <i/>
      <sz val="8"/>
      <color indexed="63"/>
      <name val="Arial"/>
      <family val="2"/>
    </font>
    <font>
      <sz val="4"/>
      <color indexed="20"/>
      <name val="Arial"/>
      <family val="0"/>
    </font>
    <font>
      <sz val="10"/>
      <color indexed="63"/>
      <name val="Arial"/>
      <family val="0"/>
    </font>
    <font>
      <i/>
      <sz val="9"/>
      <color indexed="20"/>
      <name val="Arial"/>
      <family val="2"/>
    </font>
    <font>
      <u val="single"/>
      <sz val="10"/>
      <color indexed="10"/>
      <name val="Arial"/>
      <family val="2"/>
    </font>
    <font>
      <i/>
      <sz val="10"/>
      <color indexed="10"/>
      <name val="Arial"/>
      <family val="2"/>
    </font>
    <font>
      <u val="single"/>
      <sz val="10"/>
      <color indexed="20"/>
      <name val="Arial"/>
      <family val="0"/>
    </font>
    <font>
      <i/>
      <sz val="8"/>
      <color indexed="48"/>
      <name val="Arial"/>
      <family val="2"/>
    </font>
    <font>
      <i/>
      <sz val="10"/>
      <color indexed="63"/>
      <name val="Arial"/>
      <family val="2"/>
    </font>
    <font>
      <sz val="10"/>
      <color indexed="55"/>
      <name val="Arial"/>
      <family val="0"/>
    </font>
    <font>
      <sz val="9"/>
      <color indexed="9"/>
      <name val="Arial"/>
      <family val="0"/>
    </font>
    <font>
      <sz val="4"/>
      <color indexed="63"/>
      <name val="Arial"/>
      <family val="0"/>
    </font>
    <font>
      <sz val="8"/>
      <color indexed="20"/>
      <name val="Arial"/>
      <family val="2"/>
    </font>
    <font>
      <sz val="5"/>
      <color indexed="20"/>
      <name val="Arial"/>
      <family val="0"/>
    </font>
    <font>
      <b/>
      <sz val="5"/>
      <color indexed="48"/>
      <name val="Arial"/>
      <family val="0"/>
    </font>
    <font>
      <sz val="5"/>
      <color indexed="48"/>
      <name val="Arial"/>
      <family val="0"/>
    </font>
    <font>
      <sz val="5"/>
      <color indexed="10"/>
      <name val="Arial"/>
      <family val="0"/>
    </font>
    <font>
      <sz val="4"/>
      <color indexed="10"/>
      <name val="Arial"/>
      <family val="0"/>
    </font>
    <font>
      <b/>
      <u val="single"/>
      <sz val="12"/>
      <color indexed="20"/>
      <name val="Arial"/>
      <family val="2"/>
    </font>
    <font>
      <sz val="10"/>
      <color indexed="49"/>
      <name val="Arial"/>
      <family val="0"/>
    </font>
    <font>
      <b/>
      <sz val="8"/>
      <name val="Arial"/>
      <family val="0"/>
    </font>
    <font>
      <b/>
      <sz val="4"/>
      <color indexed="48"/>
      <name val="Arial"/>
      <family val="0"/>
    </font>
    <font>
      <sz val="8"/>
      <name val="Tahoma"/>
      <family val="0"/>
    </font>
    <font>
      <b/>
      <sz val="8"/>
      <name val="Tahoma"/>
      <family val="0"/>
    </font>
    <font>
      <u val="single"/>
      <sz val="8"/>
      <color indexed="20"/>
      <name val="Arial"/>
      <family val="0"/>
    </font>
    <font>
      <i/>
      <u val="single"/>
      <sz val="10"/>
      <color indexed="20"/>
      <name val="Arial"/>
      <family val="2"/>
    </font>
    <font>
      <sz val="10"/>
      <color indexed="62"/>
      <name val="Arial"/>
      <family val="2"/>
    </font>
    <font>
      <sz val="8"/>
      <color indexed="62"/>
      <name val="Arial"/>
      <family val="2"/>
    </font>
    <font>
      <b/>
      <sz val="10"/>
      <color indexed="48"/>
      <name val="Calibri"/>
      <family val="2"/>
    </font>
    <font>
      <sz val="8"/>
      <name val="Calibri"/>
      <family val="2"/>
    </font>
    <font>
      <b/>
      <i/>
      <sz val="10"/>
      <color indexed="14"/>
      <name val="Arial"/>
      <family val="2"/>
    </font>
    <font>
      <sz val="10"/>
      <color indexed="14"/>
      <name val="Arial"/>
      <family val="2"/>
    </font>
    <font>
      <b/>
      <sz val="10"/>
      <color indexed="14"/>
      <name val="Calibri"/>
      <family val="2"/>
    </font>
    <font>
      <b/>
      <sz val="14"/>
      <color indexed="48"/>
      <name val="Arial"/>
      <family val="2"/>
    </font>
    <font>
      <b/>
      <sz val="10"/>
      <color indexed="10"/>
      <name val="Arial"/>
      <family val="2"/>
    </font>
    <font>
      <sz val="8"/>
      <color indexed="9"/>
      <name val="Arial"/>
      <family val="0"/>
    </font>
    <font>
      <b/>
      <sz val="6"/>
      <color indexed="48"/>
      <name val="Arial"/>
      <family val="0"/>
    </font>
    <font>
      <sz val="6"/>
      <color indexed="20"/>
      <name val="Arial"/>
      <family val="0"/>
    </font>
    <font>
      <sz val="6"/>
      <color indexed="48"/>
      <name val="Arial"/>
      <family val="0"/>
    </font>
    <font>
      <sz val="9"/>
      <name val="Arial"/>
      <family val="2"/>
    </font>
    <font>
      <sz val="12"/>
      <color indexed="20"/>
      <name val="Arial"/>
      <family val="2"/>
    </font>
    <font>
      <sz val="9"/>
      <color indexed="17"/>
      <name val="Arial"/>
      <family val="2"/>
    </font>
    <font>
      <sz val="10"/>
      <color indexed="9"/>
      <name val="Arial"/>
      <family val="0"/>
    </font>
    <font>
      <b/>
      <sz val="8"/>
      <color indexed="9"/>
      <name val="Arial"/>
      <family val="0"/>
    </font>
    <font>
      <b/>
      <u val="single"/>
      <sz val="10"/>
      <color indexed="54"/>
      <name val="Arial"/>
      <family val="2"/>
    </font>
    <font>
      <sz val="10"/>
      <color indexed="54"/>
      <name val="Arial"/>
      <family val="2"/>
    </font>
    <font>
      <b/>
      <sz val="10"/>
      <color indexed="54"/>
      <name val="Arial"/>
      <family val="2"/>
    </font>
    <font>
      <sz val="10"/>
      <color indexed="22"/>
      <name val="Arial"/>
      <family val="0"/>
    </font>
    <font>
      <sz val="10"/>
      <color indexed="8"/>
      <name val="Calibri"/>
      <family val="0"/>
    </font>
    <font>
      <sz val="8"/>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20"/>
      <name val="Arial"/>
      <family val="0"/>
    </font>
    <font>
      <sz val="9"/>
      <color indexed="8"/>
      <name val="Arial"/>
      <family val="0"/>
    </font>
    <font>
      <b/>
      <sz val="10"/>
      <color indexed="21"/>
      <name val="Arial"/>
      <family val="0"/>
    </font>
    <font>
      <b/>
      <sz val="10"/>
      <color indexed="8"/>
      <name val="Calibri"/>
      <family val="0"/>
    </font>
    <font>
      <b/>
      <sz val="18"/>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lightUp">
        <bgColor indexed="9"/>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color indexed="20"/>
      </bottom>
    </border>
    <border>
      <left>
        <color indexed="63"/>
      </left>
      <right>
        <color indexed="63"/>
      </right>
      <top style="hair">
        <color indexed="20"/>
      </top>
      <bottom style="hair">
        <color indexed="20"/>
      </bottom>
    </border>
    <border>
      <left>
        <color indexed="63"/>
      </left>
      <right>
        <color indexed="63"/>
      </right>
      <top>
        <color indexed="63"/>
      </top>
      <bottom style="medium">
        <color indexed="20"/>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2" borderId="0" applyNumberFormat="0" applyBorder="0" applyAlignment="0" applyProtection="0"/>
    <xf numFmtId="0" fontId="119" fillId="3" borderId="0" applyNumberFormat="0" applyBorder="0" applyAlignment="0" applyProtection="0"/>
    <xf numFmtId="0" fontId="119" fillId="4" borderId="0" applyNumberFormat="0" applyBorder="0" applyAlignment="0" applyProtection="0"/>
    <xf numFmtId="0" fontId="119" fillId="5"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19"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1" fillId="26" borderId="1" applyNumberFormat="0" applyAlignment="0" applyProtection="0"/>
    <xf numFmtId="0" fontId="122" fillId="27" borderId="2" applyNumberFormat="0" applyAlignment="0" applyProtection="0"/>
    <xf numFmtId="0" fontId="123" fillId="0" borderId="3" applyNumberFormat="0" applyFill="0" applyAlignment="0" applyProtection="0"/>
    <xf numFmtId="0" fontId="22" fillId="0" borderId="0" applyNumberFormat="0" applyFill="0" applyBorder="0" applyAlignment="0" applyProtection="0"/>
    <xf numFmtId="0" fontId="124" fillId="28" borderId="0" applyNumberFormat="0" applyBorder="0" applyAlignment="0" applyProtection="0"/>
    <xf numFmtId="0" fontId="23" fillId="0" borderId="0" applyNumberFormat="0" applyFill="0" applyBorder="0" applyAlignment="0" applyProtection="0"/>
    <xf numFmtId="0" fontId="125"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126" fillId="0" borderId="4" applyNumberFormat="0" applyFill="0" applyAlignment="0" applyProtection="0"/>
    <xf numFmtId="0" fontId="127" fillId="0" borderId="5" applyNumberFormat="0" applyFill="0" applyAlignment="0" applyProtection="0"/>
    <xf numFmtId="0" fontId="128" fillId="0" borderId="6" applyNumberFormat="0" applyFill="0" applyAlignment="0" applyProtection="0"/>
    <xf numFmtId="0" fontId="128" fillId="0" borderId="0" applyNumberFormat="0" applyFill="0" applyBorder="0" applyAlignment="0" applyProtection="0"/>
    <xf numFmtId="0" fontId="129" fillId="30" borderId="0" applyNumberFormat="0" applyBorder="0" applyAlignment="0" applyProtection="0"/>
    <xf numFmtId="0" fontId="0" fillId="31" borderId="7" applyNumberFormat="0" applyFont="0" applyAlignment="0" applyProtection="0"/>
    <xf numFmtId="0" fontId="130" fillId="32" borderId="0" applyNumberFormat="0" applyBorder="0" applyAlignment="0" applyProtection="0"/>
    <xf numFmtId="9" fontId="0" fillId="0" borderId="0" applyFont="0" applyFill="0" applyBorder="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cellStyleXfs>
  <cellXfs count="344">
    <xf numFmtId="0" fontId="0" fillId="0" borderId="0" xfId="0" applyAlignment="1">
      <alignment/>
    </xf>
    <xf numFmtId="0" fontId="5" fillId="0" borderId="0" xfId="0" applyFont="1" applyAlignment="1">
      <alignment/>
    </xf>
    <xf numFmtId="0" fontId="6" fillId="0" borderId="0" xfId="0" applyFont="1" applyAlignment="1">
      <alignment/>
    </xf>
    <xf numFmtId="0" fontId="11" fillId="0" borderId="0" xfId="0" applyFont="1" applyAlignment="1">
      <alignment/>
    </xf>
    <xf numFmtId="0" fontId="12" fillId="0" borderId="0" xfId="0" applyFont="1" applyAlignment="1">
      <alignment/>
    </xf>
    <xf numFmtId="0" fontId="6" fillId="0" borderId="0" xfId="0" applyFont="1" applyAlignment="1">
      <alignment/>
    </xf>
    <xf numFmtId="0" fontId="0" fillId="0" borderId="0" xfId="0" applyFont="1" applyAlignment="1">
      <alignment/>
    </xf>
    <xf numFmtId="0" fontId="10" fillId="0" borderId="0" xfId="0" applyFont="1" applyAlignment="1">
      <alignment/>
    </xf>
    <xf numFmtId="0" fontId="14" fillId="0" borderId="0" xfId="0" applyFont="1" applyAlignment="1">
      <alignment/>
    </xf>
    <xf numFmtId="0" fontId="16" fillId="0" borderId="0" xfId="0" applyFont="1" applyAlignment="1">
      <alignment/>
    </xf>
    <xf numFmtId="0" fontId="0" fillId="0" borderId="0" xfId="0" applyFill="1" applyAlignment="1">
      <alignment/>
    </xf>
    <xf numFmtId="0" fontId="15" fillId="0" borderId="0" xfId="0" applyFont="1" applyAlignment="1">
      <alignment/>
    </xf>
    <xf numFmtId="0" fontId="0" fillId="0" borderId="0" xfId="0" applyFont="1" applyAlignment="1">
      <alignment/>
    </xf>
    <xf numFmtId="0" fontId="21" fillId="0" borderId="0" xfId="0" applyFont="1" applyAlignment="1">
      <alignment/>
    </xf>
    <xf numFmtId="0" fontId="24" fillId="0" borderId="0" xfId="0" applyFont="1" applyAlignment="1">
      <alignment/>
    </xf>
    <xf numFmtId="2" fontId="0" fillId="0" borderId="0" xfId="0" applyNumberFormat="1" applyAlignment="1">
      <alignment/>
    </xf>
    <xf numFmtId="195" fontId="6" fillId="0" borderId="0" xfId="0" applyNumberFormat="1" applyFont="1" applyAlignment="1">
      <alignment/>
    </xf>
    <xf numFmtId="0" fontId="6" fillId="0" borderId="0" xfId="0" applyFont="1" applyFill="1" applyAlignment="1">
      <alignment/>
    </xf>
    <xf numFmtId="0" fontId="0" fillId="0" borderId="0" xfId="0" applyAlignment="1">
      <alignment vertical="center" wrapText="1"/>
    </xf>
    <xf numFmtId="0" fontId="0" fillId="0" borderId="0" xfId="0" applyAlignment="1">
      <alignment vertical="center"/>
    </xf>
    <xf numFmtId="195" fontId="0" fillId="0" borderId="0" xfId="0" applyNumberFormat="1" applyAlignment="1">
      <alignment/>
    </xf>
    <xf numFmtId="0" fontId="25" fillId="0" borderId="0" xfId="0" applyFont="1" applyAlignment="1">
      <alignment/>
    </xf>
    <xf numFmtId="0" fontId="26" fillId="0" borderId="10" xfId="0" applyFont="1" applyBorder="1" applyAlignment="1">
      <alignment/>
    </xf>
    <xf numFmtId="0" fontId="27" fillId="0" borderId="10" xfId="0" applyFont="1" applyBorder="1" applyAlignment="1">
      <alignment/>
    </xf>
    <xf numFmtId="0" fontId="28" fillId="0" borderId="10" xfId="0" applyFont="1" applyBorder="1" applyAlignment="1">
      <alignment/>
    </xf>
    <xf numFmtId="0" fontId="0" fillId="0" borderId="0" xfId="0" applyFont="1" applyFill="1" applyAlignment="1">
      <alignment/>
    </xf>
    <xf numFmtId="0" fontId="0" fillId="0" borderId="0" xfId="0" applyAlignment="1">
      <alignment wrapText="1"/>
    </xf>
    <xf numFmtId="0" fontId="29" fillId="0" borderId="0" xfId="0" applyFont="1" applyAlignment="1">
      <alignment/>
    </xf>
    <xf numFmtId="196" fontId="0" fillId="0" borderId="0" xfId="0" applyNumberFormat="1" applyAlignment="1">
      <alignment/>
    </xf>
    <xf numFmtId="196" fontId="25" fillId="0" borderId="0" xfId="0" applyNumberFormat="1" applyFont="1" applyAlignment="1">
      <alignment/>
    </xf>
    <xf numFmtId="196" fontId="0" fillId="0" borderId="0" xfId="0" applyNumberFormat="1" applyFill="1" applyAlignment="1">
      <alignment/>
    </xf>
    <xf numFmtId="0" fontId="0" fillId="0" borderId="0" xfId="0" applyFill="1" applyAlignment="1">
      <alignment wrapText="1"/>
    </xf>
    <xf numFmtId="0" fontId="30" fillId="0" borderId="0" xfId="0" applyFont="1" applyFill="1" applyAlignment="1">
      <alignment/>
    </xf>
    <xf numFmtId="0" fontId="32" fillId="0" borderId="0" xfId="0" applyFont="1" applyAlignment="1">
      <alignment/>
    </xf>
    <xf numFmtId="0" fontId="11" fillId="33" borderId="0" xfId="0" applyFont="1" applyFill="1" applyAlignment="1">
      <alignment/>
    </xf>
    <xf numFmtId="0" fontId="10" fillId="0" borderId="0" xfId="0" applyFont="1" applyAlignment="1">
      <alignment/>
    </xf>
    <xf numFmtId="0" fontId="0" fillId="33" borderId="0" xfId="0" applyFill="1" applyAlignment="1">
      <alignment/>
    </xf>
    <xf numFmtId="0" fontId="33" fillId="0" borderId="0" xfId="0" applyFont="1" applyAlignment="1">
      <alignment/>
    </xf>
    <xf numFmtId="0" fontId="24" fillId="33" borderId="0" xfId="0" applyFont="1" applyFill="1" applyAlignment="1">
      <alignment/>
    </xf>
    <xf numFmtId="0" fontId="30" fillId="0" borderId="0" xfId="0" applyFont="1" applyAlignment="1">
      <alignment/>
    </xf>
    <xf numFmtId="0" fontId="30" fillId="33" borderId="0" xfId="0" applyFont="1" applyFill="1" applyAlignment="1">
      <alignment/>
    </xf>
    <xf numFmtId="0" fontId="38" fillId="0" borderId="0" xfId="0" applyFont="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196" fontId="24" fillId="0" borderId="0" xfId="0" applyNumberFormat="1" applyFont="1" applyFill="1" applyAlignment="1">
      <alignment/>
    </xf>
    <xf numFmtId="0" fontId="56" fillId="0" borderId="0" xfId="0" applyFont="1" applyFill="1" applyAlignment="1">
      <alignment/>
    </xf>
    <xf numFmtId="0" fontId="0" fillId="0" borderId="0" xfId="0" applyFont="1" applyAlignment="1">
      <alignment/>
    </xf>
    <xf numFmtId="0" fontId="0" fillId="0" borderId="0" xfId="0" applyFill="1" applyAlignment="1" applyProtection="1">
      <alignment/>
      <protection/>
    </xf>
    <xf numFmtId="0" fontId="8" fillId="0" borderId="0" xfId="0" applyFont="1" applyFill="1" applyAlignment="1" applyProtection="1">
      <alignment/>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4" fillId="0" borderId="0" xfId="0" applyFont="1" applyFill="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41" fillId="0" borderId="0" xfId="0" applyFont="1" applyAlignment="1" applyProtection="1">
      <alignment/>
      <protection/>
    </xf>
    <xf numFmtId="0" fontId="5" fillId="0" borderId="0" xfId="0" applyFont="1" applyFill="1" applyAlignment="1" applyProtection="1">
      <alignment/>
      <protection/>
    </xf>
    <xf numFmtId="0" fontId="14" fillId="0" borderId="0" xfId="0" applyFont="1" applyAlignment="1" applyProtection="1">
      <alignment/>
      <protection/>
    </xf>
    <xf numFmtId="0" fontId="0" fillId="0" borderId="0" xfId="0" applyAlignment="1" applyProtection="1">
      <alignment horizontal="center"/>
      <protection/>
    </xf>
    <xf numFmtId="0" fontId="6" fillId="0" borderId="0" xfId="0" applyFont="1" applyFill="1" applyAlignment="1" applyProtection="1">
      <alignment/>
      <protection/>
    </xf>
    <xf numFmtId="0" fontId="7" fillId="0" borderId="0" xfId="0" applyFont="1" applyFill="1" applyBorder="1" applyAlignment="1" applyProtection="1">
      <alignment horizontal="left"/>
      <protection/>
    </xf>
    <xf numFmtId="0" fontId="9" fillId="0" borderId="11" xfId="0" applyFont="1"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18" fillId="0" borderId="0" xfId="0" applyFont="1" applyFill="1" applyBorder="1" applyAlignment="1" applyProtection="1">
      <alignment/>
      <protection/>
    </xf>
    <xf numFmtId="0" fontId="18" fillId="0" borderId="0" xfId="0" applyFont="1" applyAlignment="1" applyProtection="1">
      <alignment/>
      <protection/>
    </xf>
    <xf numFmtId="0" fontId="55" fillId="0" borderId="0" xfId="0" applyFont="1" applyFill="1" applyBorder="1" applyAlignment="1" applyProtection="1">
      <alignment/>
      <protection/>
    </xf>
    <xf numFmtId="0" fontId="49" fillId="0" borderId="0" xfId="0" applyFont="1" applyFill="1" applyBorder="1" applyAlignment="1" applyProtection="1">
      <alignment/>
      <protection/>
    </xf>
    <xf numFmtId="0" fontId="40" fillId="0" borderId="0" xfId="0" applyFont="1" applyFill="1" applyBorder="1" applyAlignment="1" applyProtection="1">
      <alignment/>
      <protection/>
    </xf>
    <xf numFmtId="0" fontId="40" fillId="0" borderId="0" xfId="0" applyFont="1" applyAlignment="1" applyProtection="1">
      <alignment/>
      <protection/>
    </xf>
    <xf numFmtId="0" fontId="58"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11" fillId="0" borderId="0" xfId="0" applyFont="1" applyAlignment="1" applyProtection="1">
      <alignment/>
      <protection/>
    </xf>
    <xf numFmtId="0" fontId="17" fillId="0" borderId="0" xfId="0" applyFont="1" applyAlignment="1" applyProtection="1">
      <alignment/>
      <protection/>
    </xf>
    <xf numFmtId="0" fontId="10" fillId="0" borderId="0" xfId="0" applyFont="1" applyAlignment="1" applyProtection="1">
      <alignment/>
      <protection/>
    </xf>
    <xf numFmtId="0" fontId="37" fillId="0" borderId="0" xfId="0" applyFont="1" applyAlignment="1">
      <alignment/>
    </xf>
    <xf numFmtId="0" fontId="0" fillId="0" borderId="0" xfId="0" applyFont="1" applyAlignment="1" applyProtection="1">
      <alignment/>
      <protection/>
    </xf>
    <xf numFmtId="2" fontId="6" fillId="0" borderId="0" xfId="0" applyNumberFormat="1" applyFont="1" applyAlignment="1">
      <alignment/>
    </xf>
    <xf numFmtId="0" fontId="0" fillId="0" borderId="0" xfId="0" applyFont="1" applyFill="1" applyAlignment="1">
      <alignment/>
    </xf>
    <xf numFmtId="0" fontId="10" fillId="0" borderId="0" xfId="0" applyFont="1" applyFill="1" applyAlignment="1">
      <alignment/>
    </xf>
    <xf numFmtId="0" fontId="65" fillId="0" borderId="0" xfId="0" applyFont="1" applyAlignment="1">
      <alignment/>
    </xf>
    <xf numFmtId="2" fontId="0" fillId="0" borderId="0" xfId="0" applyNumberFormat="1" applyFont="1" applyFill="1" applyAlignment="1">
      <alignment/>
    </xf>
    <xf numFmtId="195" fontId="0" fillId="0" borderId="0" xfId="0" applyNumberFormat="1" applyFont="1" applyAlignment="1">
      <alignment/>
    </xf>
    <xf numFmtId="197" fontId="0" fillId="0" borderId="0" xfId="0" applyNumberFormat="1" applyFont="1" applyAlignment="1">
      <alignment/>
    </xf>
    <xf numFmtId="196" fontId="0" fillId="0" borderId="0" xfId="0" applyNumberFormat="1" applyFont="1" applyAlignment="1">
      <alignment/>
    </xf>
    <xf numFmtId="0" fontId="0" fillId="34" borderId="0" xfId="0" applyFont="1" applyFill="1" applyAlignment="1">
      <alignment/>
    </xf>
    <xf numFmtId="0" fontId="0" fillId="35" borderId="0" xfId="0" applyFont="1" applyFill="1" applyAlignment="1">
      <alignment/>
    </xf>
    <xf numFmtId="0" fontId="66" fillId="0" borderId="0" xfId="0" applyFont="1" applyFill="1" applyAlignment="1">
      <alignment horizontal="center"/>
    </xf>
    <xf numFmtId="0" fontId="10" fillId="0" borderId="0" xfId="0" applyFont="1" applyFill="1" applyAlignment="1">
      <alignment/>
    </xf>
    <xf numFmtId="0" fontId="10" fillId="0" borderId="0" xfId="0" applyFont="1" applyAlignment="1">
      <alignment vertical="center"/>
    </xf>
    <xf numFmtId="197" fontId="10" fillId="0" borderId="0" xfId="0" applyNumberFormat="1" applyFont="1" applyAlignment="1">
      <alignment/>
    </xf>
    <xf numFmtId="0" fontId="6" fillId="33" borderId="0" xfId="0" applyFont="1" applyFill="1" applyAlignment="1">
      <alignment/>
    </xf>
    <xf numFmtId="0" fontId="59" fillId="0" borderId="0" xfId="0" applyFont="1" applyAlignment="1">
      <alignment/>
    </xf>
    <xf numFmtId="196" fontId="6" fillId="0" borderId="0" xfId="0" applyNumberFormat="1" applyFont="1" applyAlignment="1">
      <alignment/>
    </xf>
    <xf numFmtId="0" fontId="6" fillId="36" borderId="0" xfId="0" applyFont="1" applyFill="1" applyAlignment="1">
      <alignment/>
    </xf>
    <xf numFmtId="0" fontId="9" fillId="0" borderId="0" xfId="0" applyFont="1" applyFill="1" applyAlignment="1">
      <alignment/>
    </xf>
    <xf numFmtId="0" fontId="18" fillId="0" borderId="0" xfId="0" applyFont="1" applyAlignment="1" applyProtection="1">
      <alignment/>
      <protection/>
    </xf>
    <xf numFmtId="0" fontId="39" fillId="0" borderId="0" xfId="0" applyFont="1" applyAlignment="1">
      <alignment/>
    </xf>
    <xf numFmtId="0" fontId="38" fillId="0" borderId="0" xfId="0" applyFont="1" applyAlignment="1">
      <alignment/>
    </xf>
    <xf numFmtId="2" fontId="10" fillId="0" borderId="0" xfId="0" applyNumberFormat="1" applyFont="1" applyAlignment="1">
      <alignment/>
    </xf>
    <xf numFmtId="0" fontId="59" fillId="0" borderId="0" xfId="0" applyFont="1" applyAlignment="1">
      <alignment/>
    </xf>
    <xf numFmtId="196" fontId="10" fillId="0" borderId="0" xfId="0" applyNumberFormat="1" applyFont="1" applyAlignment="1">
      <alignment/>
    </xf>
    <xf numFmtId="196" fontId="59" fillId="0" borderId="0" xfId="0" applyNumberFormat="1" applyFont="1" applyAlignment="1">
      <alignment/>
    </xf>
    <xf numFmtId="0" fontId="9" fillId="0" borderId="0" xfId="0" applyFont="1" applyAlignment="1">
      <alignment/>
    </xf>
    <xf numFmtId="0" fontId="0" fillId="0" borderId="0" xfId="0" applyFont="1" applyAlignment="1" applyProtection="1">
      <alignment/>
      <protection/>
    </xf>
    <xf numFmtId="0" fontId="0" fillId="37" borderId="0" xfId="0" applyFont="1" applyFill="1" applyAlignment="1">
      <alignment/>
    </xf>
    <xf numFmtId="0" fontId="0" fillId="0" borderId="0" xfId="0" applyFont="1" applyAlignment="1">
      <alignment/>
    </xf>
    <xf numFmtId="0" fontId="73" fillId="0" borderId="0" xfId="0" applyFont="1" applyAlignment="1">
      <alignment/>
    </xf>
    <xf numFmtId="0" fontId="74" fillId="0" borderId="0" xfId="0" applyFont="1" applyAlignment="1">
      <alignment/>
    </xf>
    <xf numFmtId="3" fontId="11" fillId="0" borderId="0" xfId="0" applyNumberFormat="1" applyFont="1" applyAlignment="1" applyProtection="1">
      <alignment/>
      <protection/>
    </xf>
    <xf numFmtId="0" fontId="10" fillId="0" borderId="0" xfId="0" applyFont="1" applyAlignment="1">
      <alignment horizontal="right"/>
    </xf>
    <xf numFmtId="3" fontId="10" fillId="0" borderId="0" xfId="0" applyNumberFormat="1" applyFont="1" applyAlignment="1">
      <alignment/>
    </xf>
    <xf numFmtId="0" fontId="17" fillId="0" borderId="0" xfId="0" applyFont="1" applyAlignment="1">
      <alignment/>
    </xf>
    <xf numFmtId="0" fontId="77" fillId="0" borderId="0" xfId="0" applyFont="1" applyFill="1" applyAlignment="1">
      <alignment/>
    </xf>
    <xf numFmtId="0" fontId="78" fillId="0" borderId="0" xfId="0" applyFont="1" applyFill="1" applyAlignment="1">
      <alignment/>
    </xf>
    <xf numFmtId="0" fontId="77" fillId="0" borderId="0" xfId="0" applyFont="1" applyAlignment="1">
      <alignment/>
    </xf>
    <xf numFmtId="0" fontId="78" fillId="0" borderId="0" xfId="0" applyFont="1" applyAlignment="1">
      <alignment/>
    </xf>
    <xf numFmtId="211" fontId="11" fillId="0" borderId="0" xfId="0" applyNumberFormat="1" applyFont="1" applyAlignment="1" applyProtection="1">
      <alignment/>
      <protection/>
    </xf>
    <xf numFmtId="0" fontId="37" fillId="0" borderId="0" xfId="0" applyFont="1" applyFill="1" applyAlignment="1">
      <alignment/>
    </xf>
    <xf numFmtId="0" fontId="15" fillId="0" borderId="0" xfId="0" applyFont="1" applyFill="1" applyAlignment="1">
      <alignment/>
    </xf>
    <xf numFmtId="0" fontId="0" fillId="0" borderId="13" xfId="0" applyFill="1" applyBorder="1" applyAlignment="1" applyProtection="1">
      <alignment/>
      <protection/>
    </xf>
    <xf numFmtId="0" fontId="7" fillId="0" borderId="13" xfId="0" applyFont="1" applyFill="1" applyBorder="1" applyAlignment="1" applyProtection="1">
      <alignment horizontal="left"/>
      <protection/>
    </xf>
    <xf numFmtId="0" fontId="10" fillId="0" borderId="13" xfId="0" applyFont="1" applyFill="1" applyBorder="1" applyAlignment="1" applyProtection="1">
      <alignment/>
      <protection/>
    </xf>
    <xf numFmtId="0" fontId="0" fillId="0" borderId="13" xfId="0" applyBorder="1" applyAlignment="1" applyProtection="1">
      <alignment/>
      <protection/>
    </xf>
    <xf numFmtId="0" fontId="0" fillId="0" borderId="13" xfId="0" applyBorder="1" applyAlignment="1">
      <alignment/>
    </xf>
    <xf numFmtId="0" fontId="0" fillId="0" borderId="13" xfId="0" applyBorder="1" applyAlignment="1" applyProtection="1">
      <alignment horizontal="center"/>
      <protection/>
    </xf>
    <xf numFmtId="0" fontId="18" fillId="0" borderId="0" xfId="0" applyFont="1" applyAlignment="1">
      <alignment/>
    </xf>
    <xf numFmtId="0" fontId="81" fillId="0" borderId="0" xfId="0" applyFont="1" applyAlignment="1">
      <alignment/>
    </xf>
    <xf numFmtId="0" fontId="37" fillId="0" borderId="0" xfId="0" applyFont="1" applyAlignment="1">
      <alignment/>
    </xf>
    <xf numFmtId="0" fontId="9" fillId="0" borderId="0" xfId="0" applyFont="1" applyAlignment="1">
      <alignment/>
    </xf>
    <xf numFmtId="0" fontId="9" fillId="0" borderId="11" xfId="0" applyFont="1" applyFill="1" applyBorder="1" applyAlignment="1" applyProtection="1">
      <alignment/>
      <protection locked="0"/>
    </xf>
    <xf numFmtId="0" fontId="9" fillId="0" borderId="12" xfId="0" applyFont="1" applyFill="1" applyBorder="1" applyAlignment="1" applyProtection="1">
      <alignment/>
      <protection locked="0"/>
    </xf>
    <xf numFmtId="190" fontId="9" fillId="0" borderId="12" xfId="0" applyNumberFormat="1" applyFont="1" applyFill="1" applyBorder="1" applyAlignment="1" applyProtection="1">
      <alignment horizontal="left"/>
      <protection locked="0"/>
    </xf>
    <xf numFmtId="0" fontId="16" fillId="0" borderId="14" xfId="0" applyFont="1" applyFill="1" applyBorder="1" applyAlignment="1" applyProtection="1">
      <alignment horizontal="right"/>
      <protection locked="0"/>
    </xf>
    <xf numFmtId="0" fontId="16" fillId="0" borderId="14" xfId="0" applyFont="1" applyFill="1" applyBorder="1" applyAlignment="1" applyProtection="1">
      <alignment/>
      <protection locked="0"/>
    </xf>
    <xf numFmtId="0" fontId="46" fillId="0" borderId="0" xfId="0" applyFont="1" applyFill="1" applyBorder="1" applyAlignment="1" applyProtection="1">
      <alignment/>
      <protection locked="0"/>
    </xf>
    <xf numFmtId="0" fontId="47" fillId="0" borderId="0" xfId="0" applyFont="1" applyFill="1" applyBorder="1" applyAlignment="1" applyProtection="1">
      <alignment/>
      <protection locked="0"/>
    </xf>
    <xf numFmtId="0" fontId="16" fillId="0" borderId="0" xfId="0" applyFont="1" applyFill="1" applyBorder="1" applyAlignment="1" applyProtection="1">
      <alignment/>
      <protection locked="0"/>
    </xf>
    <xf numFmtId="0" fontId="17" fillId="0" borderId="0" xfId="0" applyFont="1" applyAlignment="1" applyProtection="1">
      <alignment/>
      <protection/>
    </xf>
    <xf numFmtId="0" fontId="0" fillId="38" borderId="0" xfId="0" applyFont="1" applyFill="1" applyAlignment="1">
      <alignment/>
    </xf>
    <xf numFmtId="0" fontId="6" fillId="0" borderId="0" xfId="0" applyFont="1" applyFill="1" applyAlignment="1">
      <alignment/>
    </xf>
    <xf numFmtId="0" fontId="59" fillId="0" borderId="0" xfId="0" applyFont="1" applyFill="1" applyAlignment="1">
      <alignment/>
    </xf>
    <xf numFmtId="0" fontId="10" fillId="38" borderId="0" xfId="0" applyFont="1" applyFill="1" applyAlignment="1">
      <alignment/>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11" fillId="0" borderId="0" xfId="0" applyFont="1" applyFill="1" applyBorder="1" applyAlignment="1" applyProtection="1">
      <alignment horizontal="right"/>
      <protection locked="0"/>
    </xf>
    <xf numFmtId="0" fontId="37" fillId="0" borderId="0" xfId="0" applyFont="1" applyFill="1" applyBorder="1" applyAlignment="1" applyProtection="1">
      <alignment/>
      <protection/>
    </xf>
    <xf numFmtId="0" fontId="0" fillId="0" borderId="0" xfId="0" applyFont="1" applyFill="1" applyBorder="1" applyAlignment="1" applyProtection="1">
      <alignment/>
      <protection/>
    </xf>
    <xf numFmtId="0" fontId="83" fillId="0" borderId="0" xfId="0" applyFont="1" applyFill="1" applyBorder="1" applyAlignment="1" applyProtection="1">
      <alignment horizontal="right"/>
      <protection locked="0"/>
    </xf>
    <xf numFmtId="0" fontId="48" fillId="0" borderId="0" xfId="0" applyFont="1" applyFill="1" applyBorder="1" applyAlignment="1" applyProtection="1">
      <alignment/>
      <protection/>
    </xf>
    <xf numFmtId="0" fontId="68" fillId="0" borderId="0" xfId="0" applyFont="1" applyFill="1" applyBorder="1" applyAlignment="1" applyProtection="1">
      <alignment horizontal="right"/>
      <protection locked="0"/>
    </xf>
    <xf numFmtId="0" fontId="11" fillId="0" borderId="0" xfId="0" applyFont="1" applyFill="1" applyBorder="1" applyAlignment="1" applyProtection="1">
      <alignment/>
      <protection/>
    </xf>
    <xf numFmtId="0" fontId="0" fillId="0" borderId="0" xfId="0" applyFont="1" applyFill="1" applyBorder="1" applyAlignment="1">
      <alignment/>
    </xf>
    <xf numFmtId="0" fontId="0" fillId="0" borderId="0" xfId="0" applyFont="1" applyFill="1" applyAlignment="1">
      <alignment horizontal="center"/>
    </xf>
    <xf numFmtId="0" fontId="86" fillId="0" borderId="0" xfId="0" applyFont="1" applyAlignment="1" applyProtection="1">
      <alignment/>
      <protection/>
    </xf>
    <xf numFmtId="0" fontId="33" fillId="0" borderId="0" xfId="0" applyFont="1" applyFill="1" applyAlignment="1">
      <alignment/>
    </xf>
    <xf numFmtId="0" fontId="0" fillId="34" borderId="0" xfId="0" applyFont="1" applyFill="1" applyAlignment="1">
      <alignment/>
    </xf>
    <xf numFmtId="0" fontId="0" fillId="0" borderId="0" xfId="0" applyFont="1" applyFill="1" applyAlignment="1">
      <alignment/>
    </xf>
    <xf numFmtId="0" fontId="0" fillId="39" borderId="0" xfId="0" applyFill="1" applyAlignment="1">
      <alignment/>
    </xf>
    <xf numFmtId="0" fontId="0" fillId="39" borderId="0" xfId="0" applyFont="1" applyFill="1" applyAlignment="1">
      <alignment/>
    </xf>
    <xf numFmtId="0" fontId="7" fillId="0" borderId="14" xfId="0" applyFont="1" applyFill="1" applyBorder="1" applyAlignment="1" applyProtection="1">
      <alignment/>
      <protection locked="0"/>
    </xf>
    <xf numFmtId="0" fontId="7" fillId="0" borderId="14" xfId="0" applyFont="1" applyFill="1" applyBorder="1" applyAlignment="1" applyProtection="1">
      <alignment horizontal="right"/>
      <protection locked="0"/>
    </xf>
    <xf numFmtId="195" fontId="0" fillId="0" borderId="0" xfId="0" applyNumberFormat="1" applyFont="1" applyAlignment="1">
      <alignment/>
    </xf>
    <xf numFmtId="0" fontId="14" fillId="0" borderId="0" xfId="0" applyFont="1" applyFill="1" applyAlignment="1">
      <alignment/>
    </xf>
    <xf numFmtId="0" fontId="14" fillId="0" borderId="0" xfId="0" applyFont="1" applyFill="1" applyAlignment="1">
      <alignment wrapText="1"/>
    </xf>
    <xf numFmtId="197" fontId="0" fillId="0" borderId="0" xfId="0" applyNumberFormat="1" applyFill="1" applyAlignment="1">
      <alignment/>
    </xf>
    <xf numFmtId="0" fontId="0" fillId="0" borderId="0" xfId="0" applyFill="1" applyBorder="1" applyAlignment="1" applyProtection="1">
      <alignment/>
      <protection locked="0"/>
    </xf>
    <xf numFmtId="0" fontId="7" fillId="0" borderId="0" xfId="0" applyFont="1" applyFill="1" applyBorder="1" applyAlignment="1" applyProtection="1">
      <alignment horizontal="left"/>
      <protection locked="0"/>
    </xf>
    <xf numFmtId="0" fontId="10" fillId="0" borderId="0" xfId="0" applyFont="1" applyFill="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80"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12" fillId="0" borderId="0" xfId="0"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18" fillId="0" borderId="0" xfId="0" applyFont="1" applyFill="1" applyBorder="1" applyAlignment="1" applyProtection="1">
      <alignment/>
      <protection locked="0"/>
    </xf>
    <xf numFmtId="0" fontId="34" fillId="0" borderId="0" xfId="0" applyFont="1" applyFill="1" applyBorder="1" applyAlignment="1" applyProtection="1">
      <alignment horizontal="left"/>
      <protection locked="0"/>
    </xf>
    <xf numFmtId="0" fontId="18" fillId="0" borderId="0" xfId="0" applyFont="1" applyBorder="1" applyAlignment="1" applyProtection="1">
      <alignment/>
      <protection locked="0"/>
    </xf>
    <xf numFmtId="0" fontId="18" fillId="0" borderId="0" xfId="0" applyFont="1" applyAlignment="1" applyProtection="1">
      <alignment/>
      <protection locked="0"/>
    </xf>
    <xf numFmtId="0" fontId="19" fillId="0" borderId="0" xfId="0" applyFont="1" applyAlignment="1" applyProtection="1">
      <alignment/>
      <protection locked="0"/>
    </xf>
    <xf numFmtId="0" fontId="40" fillId="0" borderId="0" xfId="0" applyFont="1" applyFill="1" applyBorder="1" applyAlignment="1" applyProtection="1">
      <alignment/>
      <protection locked="0"/>
    </xf>
    <xf numFmtId="0" fontId="43" fillId="0" borderId="0" xfId="0" applyFont="1" applyFill="1" applyBorder="1" applyAlignment="1" applyProtection="1">
      <alignment horizontal="left"/>
      <protection locked="0"/>
    </xf>
    <xf numFmtId="0" fontId="40" fillId="0" borderId="0" xfId="0" applyFont="1" applyBorder="1" applyAlignment="1" applyProtection="1">
      <alignment/>
      <protection locked="0"/>
    </xf>
    <xf numFmtId="0" fontId="40" fillId="0" borderId="0" xfId="0" applyFont="1" applyAlignment="1" applyProtection="1">
      <alignment/>
      <protection locked="0"/>
    </xf>
    <xf numFmtId="0" fontId="16" fillId="0" borderId="0" xfId="0" applyFont="1" applyFill="1" applyBorder="1" applyAlignment="1" applyProtection="1">
      <alignment horizontal="right"/>
      <protection locked="0"/>
    </xf>
    <xf numFmtId="0" fontId="2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0" fontId="80" fillId="0" borderId="0" xfId="0" applyFont="1" applyAlignment="1" applyProtection="1">
      <alignment/>
      <protection locked="0"/>
    </xf>
    <xf numFmtId="0" fontId="11" fillId="0" borderId="0" xfId="0" applyFont="1" applyAlignment="1" applyProtection="1">
      <alignment/>
      <protection locked="0"/>
    </xf>
    <xf numFmtId="0" fontId="17" fillId="0" borderId="0" xfId="0" applyFont="1" applyAlignment="1" applyProtection="1">
      <alignment/>
      <protection locked="0"/>
    </xf>
    <xf numFmtId="0" fontId="6" fillId="0" borderId="0" xfId="0" applyFont="1" applyAlignment="1" applyProtection="1">
      <alignment/>
      <protection locked="0"/>
    </xf>
    <xf numFmtId="0" fontId="50" fillId="0" borderId="0" xfId="0" applyFont="1" applyAlignment="1" applyProtection="1">
      <alignment/>
      <protection locked="0"/>
    </xf>
    <xf numFmtId="0" fontId="0" fillId="0" borderId="0" xfId="0" applyFont="1" applyAlignment="1" applyProtection="1">
      <alignment/>
      <protection locked="0"/>
    </xf>
    <xf numFmtId="0" fontId="44" fillId="0" borderId="0" xfId="0" applyFont="1" applyAlignment="1" applyProtection="1">
      <alignment/>
      <protection locked="0"/>
    </xf>
    <xf numFmtId="0" fontId="42" fillId="0" borderId="0" xfId="0" applyFont="1" applyAlignment="1" applyProtection="1">
      <alignment/>
      <protection locked="0"/>
    </xf>
    <xf numFmtId="0" fontId="45" fillId="0" borderId="0" xfId="0" applyFont="1" applyAlignment="1" applyProtection="1">
      <alignment/>
      <protection locked="0"/>
    </xf>
    <xf numFmtId="0" fontId="31" fillId="0" borderId="0" xfId="0" applyFont="1" applyAlignment="1" applyProtection="1">
      <alignment/>
      <protection locked="0"/>
    </xf>
    <xf numFmtId="0" fontId="13" fillId="0" borderId="0" xfId="0" applyFont="1" applyAlignment="1" applyProtection="1">
      <alignment/>
      <protection locked="0"/>
    </xf>
    <xf numFmtId="0" fontId="35" fillId="0" borderId="0" xfId="0" applyFont="1" applyAlignment="1" applyProtection="1">
      <alignment/>
      <protection locked="0"/>
    </xf>
    <xf numFmtId="0" fontId="51" fillId="0" borderId="0" xfId="0" applyFont="1" applyAlignment="1" applyProtection="1">
      <alignment/>
      <protection locked="0"/>
    </xf>
    <xf numFmtId="0" fontId="39" fillId="0" borderId="0" xfId="0" applyFont="1" applyAlignment="1" applyProtection="1">
      <alignment/>
      <protection locked="0"/>
    </xf>
    <xf numFmtId="0" fontId="52" fillId="0" borderId="0" xfId="0" applyFont="1" applyAlignment="1" applyProtection="1">
      <alignment/>
      <protection locked="0"/>
    </xf>
    <xf numFmtId="0" fontId="30" fillId="0" borderId="0" xfId="0" applyFont="1" applyAlignment="1" applyProtection="1">
      <alignment/>
      <protection locked="0"/>
    </xf>
    <xf numFmtId="0" fontId="36" fillId="0" borderId="0" xfId="0" applyFont="1" applyAlignment="1" applyProtection="1">
      <alignment/>
      <protection locked="0"/>
    </xf>
    <xf numFmtId="0" fontId="48" fillId="0" borderId="0" xfId="0" applyFont="1" applyAlignment="1" applyProtection="1">
      <alignment/>
      <protection locked="0"/>
    </xf>
    <xf numFmtId="0" fontId="0" fillId="0" borderId="0" xfId="0" applyFont="1" applyAlignment="1" applyProtection="1">
      <alignment/>
      <protection locked="0"/>
    </xf>
    <xf numFmtId="0" fontId="64" fillId="0" borderId="0" xfId="0" applyFont="1" applyAlignment="1" applyProtection="1">
      <alignment/>
      <protection locked="0"/>
    </xf>
    <xf numFmtId="0" fontId="30"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protection locked="0"/>
    </xf>
    <xf numFmtId="0" fontId="82" fillId="0" borderId="0" xfId="0" applyFont="1" applyAlignment="1" applyProtection="1">
      <alignment/>
      <protection locked="0"/>
    </xf>
    <xf numFmtId="0" fontId="39" fillId="0" borderId="0" xfId="0" applyFont="1" applyBorder="1" applyAlignment="1" applyProtection="1">
      <alignment/>
      <protection locked="0"/>
    </xf>
    <xf numFmtId="0" fontId="53" fillId="0" borderId="0" xfId="0" applyFont="1" applyAlignment="1" applyProtection="1">
      <alignment/>
      <protection locked="0"/>
    </xf>
    <xf numFmtId="0" fontId="36" fillId="0" borderId="0" xfId="0" applyFont="1" applyAlignment="1" applyProtection="1">
      <alignment/>
      <protection locked="0"/>
    </xf>
    <xf numFmtId="0" fontId="54" fillId="0" borderId="0" xfId="0" applyFont="1" applyAlignment="1" applyProtection="1">
      <alignment/>
      <protection locked="0"/>
    </xf>
    <xf numFmtId="0" fontId="24" fillId="0" borderId="0" xfId="0" applyFont="1" applyAlignment="1" applyProtection="1">
      <alignment/>
      <protection locked="0"/>
    </xf>
    <xf numFmtId="0" fontId="10" fillId="0" borderId="0" xfId="0" applyFont="1" applyAlignment="1" applyProtection="1">
      <alignment horizontal="left" indent="1"/>
      <protection locked="0"/>
    </xf>
    <xf numFmtId="0" fontId="39" fillId="0" borderId="0" xfId="0" applyFont="1" applyFill="1" applyAlignment="1" applyProtection="1">
      <alignment/>
      <protection locked="0"/>
    </xf>
    <xf numFmtId="0" fontId="60" fillId="0" borderId="0" xfId="0" applyFont="1" applyAlignment="1" applyProtection="1">
      <alignment/>
      <protection locked="0"/>
    </xf>
    <xf numFmtId="0" fontId="61" fillId="0" borderId="0" xfId="0" applyFont="1" applyFill="1" applyBorder="1" applyAlignment="1" applyProtection="1">
      <alignment/>
      <protection locked="0"/>
    </xf>
    <xf numFmtId="0" fontId="62" fillId="0" borderId="0" xfId="0" applyFont="1" applyAlignment="1" applyProtection="1">
      <alignment/>
      <protection locked="0"/>
    </xf>
    <xf numFmtId="0" fontId="68" fillId="0" borderId="0" xfId="0" applyFont="1" applyFill="1" applyBorder="1" applyAlignment="1" applyProtection="1">
      <alignment/>
      <protection locked="0"/>
    </xf>
    <xf numFmtId="0" fontId="19" fillId="0" borderId="0" xfId="0" applyFont="1" applyAlignment="1" applyProtection="1">
      <alignment horizontal="left"/>
      <protection locked="0"/>
    </xf>
    <xf numFmtId="0" fontId="9" fillId="0" borderId="0" xfId="0" applyFont="1" applyBorder="1" applyAlignment="1" applyProtection="1">
      <alignment horizontal="center"/>
      <protection locked="0"/>
    </xf>
    <xf numFmtId="0" fontId="67" fillId="0" borderId="0" xfId="0" applyFont="1" applyAlignment="1" applyProtection="1">
      <alignment/>
      <protection locked="0"/>
    </xf>
    <xf numFmtId="0" fontId="0" fillId="0" borderId="0" xfId="0" applyFill="1" applyAlignment="1" applyProtection="1">
      <alignment/>
      <protection locked="0"/>
    </xf>
    <xf numFmtId="0" fontId="36" fillId="0" borderId="0" xfId="0" applyFont="1" applyFill="1" applyAlignment="1" applyProtection="1">
      <alignment/>
      <protection locked="0"/>
    </xf>
    <xf numFmtId="0" fontId="18" fillId="0" borderId="0" xfId="0" applyFont="1" applyFill="1" applyAlignment="1" applyProtection="1">
      <alignment/>
      <protection locked="0"/>
    </xf>
    <xf numFmtId="0" fontId="17" fillId="0" borderId="0" xfId="0" applyFont="1" applyFill="1" applyAlignment="1" applyProtection="1">
      <alignment/>
      <protection locked="0"/>
    </xf>
    <xf numFmtId="0" fontId="0" fillId="0" borderId="0" xfId="0" applyFont="1" applyFill="1" applyAlignment="1" applyProtection="1">
      <alignment/>
      <protection locked="0"/>
    </xf>
    <xf numFmtId="0" fontId="17" fillId="0" borderId="0" xfId="0" applyFont="1" applyAlignment="1" applyProtection="1">
      <alignment/>
      <protection locked="0"/>
    </xf>
    <xf numFmtId="0" fontId="0" fillId="0" borderId="0" xfId="0" applyFont="1" applyAlignment="1" applyProtection="1">
      <alignment/>
      <protection locked="0"/>
    </xf>
    <xf numFmtId="0" fontId="18" fillId="0" borderId="0" xfId="0" applyFont="1" applyAlignment="1" applyProtection="1">
      <alignment/>
      <protection locked="0"/>
    </xf>
    <xf numFmtId="0" fontId="53" fillId="0" borderId="0" xfId="0" applyFont="1" applyAlignment="1" applyProtection="1">
      <alignment/>
      <protection locked="0"/>
    </xf>
    <xf numFmtId="0" fontId="71" fillId="0" borderId="0" xfId="0" applyFont="1" applyAlignment="1" applyProtection="1">
      <alignment/>
      <protection locked="0"/>
    </xf>
    <xf numFmtId="0" fontId="19" fillId="0" borderId="0" xfId="0" applyFont="1" applyAlignment="1" applyProtection="1">
      <alignment/>
      <protection locked="0"/>
    </xf>
    <xf numFmtId="0" fontId="84" fillId="0" borderId="0" xfId="0" applyFont="1" applyAlignment="1" applyProtection="1">
      <alignment/>
      <protection locked="0"/>
    </xf>
    <xf numFmtId="0" fontId="83" fillId="0" borderId="0" xfId="0" applyFont="1" applyFill="1" applyBorder="1" applyAlignment="1" applyProtection="1">
      <alignment/>
      <protection locked="0"/>
    </xf>
    <xf numFmtId="0" fontId="85" fillId="0" borderId="0" xfId="0" applyFont="1" applyAlignment="1" applyProtection="1">
      <alignment/>
      <protection locked="0"/>
    </xf>
    <xf numFmtId="0" fontId="53" fillId="0" borderId="0" xfId="0" applyFont="1" applyFill="1" applyAlignment="1" applyProtection="1">
      <alignment/>
      <protection locked="0"/>
    </xf>
    <xf numFmtId="0" fontId="83" fillId="0" borderId="0" xfId="0" applyFont="1" applyAlignment="1" applyProtection="1">
      <alignment/>
      <protection locked="0"/>
    </xf>
    <xf numFmtId="0" fontId="17"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20" fillId="0" borderId="0" xfId="0" applyFont="1" applyBorder="1" applyAlignment="1" applyProtection="1">
      <alignment horizontal="center"/>
      <protection locked="0"/>
    </xf>
    <xf numFmtId="0" fontId="37" fillId="0" borderId="0" xfId="0" applyFont="1" applyBorder="1" applyAlignment="1" applyProtection="1">
      <alignment horizontal="center"/>
      <protection locked="0"/>
    </xf>
    <xf numFmtId="0" fontId="62" fillId="0" borderId="0" xfId="0" applyFont="1" applyBorder="1" applyAlignment="1" applyProtection="1">
      <alignment horizontal="center"/>
      <protection locked="0"/>
    </xf>
    <xf numFmtId="0" fontId="59" fillId="0" borderId="0" xfId="0" applyFont="1" applyAlignment="1" applyProtection="1">
      <alignment/>
      <protection locked="0"/>
    </xf>
    <xf numFmtId="0" fontId="71" fillId="0" borderId="0" xfId="0" applyFont="1" applyFill="1" applyBorder="1" applyAlignment="1" applyProtection="1">
      <alignment/>
      <protection locked="0"/>
    </xf>
    <xf numFmtId="0" fontId="10"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84" fillId="0" borderId="0" xfId="0" applyFont="1" applyFill="1" applyBorder="1" applyAlignment="1" applyProtection="1">
      <alignment/>
      <protection locked="0"/>
    </xf>
    <xf numFmtId="0" fontId="85"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48" fillId="0" borderId="0" xfId="0" applyFont="1" applyFill="1" applyBorder="1" applyAlignment="1" applyProtection="1">
      <alignment/>
      <protection locked="0"/>
    </xf>
    <xf numFmtId="0" fontId="20" fillId="0" borderId="0" xfId="0" applyFont="1" applyFill="1" applyBorder="1" applyAlignment="1" applyProtection="1">
      <alignment/>
      <protection locked="0"/>
    </xf>
    <xf numFmtId="0" fontId="37"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3" fontId="0" fillId="0" borderId="0" xfId="0" applyNumberFormat="1" applyAlignment="1" applyProtection="1">
      <alignment/>
      <protection/>
    </xf>
    <xf numFmtId="3" fontId="24" fillId="0" borderId="0" xfId="0" applyNumberFormat="1" applyFont="1" applyAlignment="1" applyProtection="1">
      <alignment/>
      <protection/>
    </xf>
    <xf numFmtId="3" fontId="0" fillId="0" borderId="0" xfId="0" applyNumberFormat="1" applyFont="1" applyAlignment="1" applyProtection="1">
      <alignment/>
      <protection/>
    </xf>
    <xf numFmtId="3" fontId="77" fillId="0" borderId="0" xfId="0" applyNumberFormat="1" applyFont="1" applyAlignment="1" applyProtection="1">
      <alignment/>
      <protection/>
    </xf>
    <xf numFmtId="3" fontId="24" fillId="0" borderId="0" xfId="0" applyNumberFormat="1" applyFont="1" applyFill="1" applyAlignment="1" applyProtection="1">
      <alignment/>
      <protection/>
    </xf>
    <xf numFmtId="3" fontId="78" fillId="0" borderId="0" xfId="0" applyNumberFormat="1" applyFont="1" applyAlignment="1" applyProtection="1">
      <alignment/>
      <protection/>
    </xf>
    <xf numFmtId="0" fontId="0" fillId="0" borderId="0" xfId="0" applyFont="1" applyAlignment="1" applyProtection="1">
      <alignment/>
      <protection/>
    </xf>
    <xf numFmtId="0" fontId="0" fillId="0" borderId="13" xfId="0" applyFont="1" applyBorder="1" applyAlignment="1" applyProtection="1">
      <alignment/>
      <protection/>
    </xf>
    <xf numFmtId="2" fontId="7" fillId="0" borderId="14" xfId="0" applyNumberFormat="1" applyFont="1" applyFill="1" applyBorder="1" applyAlignment="1" applyProtection="1">
      <alignment/>
      <protection locked="0"/>
    </xf>
    <xf numFmtId="3" fontId="0" fillId="33" borderId="0" xfId="0" applyNumberFormat="1" applyFont="1" applyFill="1" applyAlignment="1" applyProtection="1">
      <alignment/>
      <protection/>
    </xf>
    <xf numFmtId="0" fontId="10" fillId="33" borderId="0" xfId="0" applyFont="1" applyFill="1" applyAlignment="1">
      <alignment/>
    </xf>
    <xf numFmtId="0" fontId="10" fillId="33" borderId="0" xfId="0" applyFont="1" applyFill="1" applyAlignment="1">
      <alignment/>
    </xf>
    <xf numFmtId="0" fontId="0" fillId="33" borderId="0" xfId="0" applyFont="1" applyFill="1" applyAlignment="1">
      <alignment/>
    </xf>
    <xf numFmtId="0" fontId="6" fillId="0" borderId="0" xfId="0" applyFont="1" applyAlignment="1">
      <alignment wrapText="1"/>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3" fontId="0" fillId="0" borderId="0" xfId="0" applyNumberFormat="1" applyFont="1" applyFill="1" applyAlignment="1" applyProtection="1">
      <alignment/>
      <protection/>
    </xf>
    <xf numFmtId="3" fontId="6" fillId="36" borderId="0" xfId="0" applyNumberFormat="1" applyFont="1" applyFill="1" applyAlignment="1" applyProtection="1">
      <alignment/>
      <protection/>
    </xf>
    <xf numFmtId="211" fontId="0" fillId="0" borderId="0" xfId="0" applyNumberFormat="1" applyFont="1" applyFill="1" applyAlignment="1" applyProtection="1">
      <alignment/>
      <protection/>
    </xf>
    <xf numFmtId="3" fontId="0" fillId="35" borderId="0" xfId="0" applyNumberFormat="1" applyFont="1" applyFill="1" applyAlignment="1" applyProtection="1">
      <alignment/>
      <protection/>
    </xf>
    <xf numFmtId="4" fontId="0" fillId="0" borderId="0" xfId="0" applyNumberFormat="1" applyFont="1" applyFill="1" applyAlignment="1" applyProtection="1">
      <alignment/>
      <protection/>
    </xf>
    <xf numFmtId="0" fontId="37" fillId="0" borderId="0" xfId="0" applyFont="1" applyFill="1" applyAlignment="1">
      <alignment/>
    </xf>
    <xf numFmtId="0" fontId="87" fillId="0" borderId="10" xfId="0" applyFont="1" applyBorder="1" applyAlignment="1">
      <alignment/>
    </xf>
    <xf numFmtId="0" fontId="88" fillId="0" borderId="0" xfId="0" applyFont="1" applyAlignment="1">
      <alignment/>
    </xf>
    <xf numFmtId="190" fontId="9" fillId="0" borderId="11" xfId="0" applyNumberFormat="1" applyFont="1" applyFill="1" applyBorder="1" applyAlignment="1" applyProtection="1">
      <alignment/>
      <protection/>
    </xf>
    <xf numFmtId="0" fontId="89" fillId="0" borderId="0" xfId="0" applyFont="1" applyBorder="1" applyAlignment="1" applyProtection="1">
      <alignment/>
      <protection locked="0"/>
    </xf>
    <xf numFmtId="0" fontId="90" fillId="0" borderId="0" xfId="0" applyFont="1" applyFill="1" applyBorder="1" applyAlignment="1" applyProtection="1">
      <alignment/>
      <protection locked="0"/>
    </xf>
    <xf numFmtId="0" fontId="57" fillId="0" borderId="0" xfId="0" applyFont="1" applyBorder="1" applyAlignment="1" applyProtection="1">
      <alignment/>
      <protection locked="0"/>
    </xf>
    <xf numFmtId="0" fontId="89" fillId="0" borderId="0" xfId="0" applyFont="1" applyAlignment="1">
      <alignment/>
    </xf>
    <xf numFmtId="0" fontId="82" fillId="0" borderId="0" xfId="0" applyFont="1" applyAlignment="1">
      <alignment/>
    </xf>
    <xf numFmtId="0" fontId="91" fillId="0" borderId="0" xfId="0" applyFont="1" applyAlignment="1">
      <alignment/>
    </xf>
    <xf numFmtId="0" fontId="92" fillId="0" borderId="0" xfId="0" applyFont="1" applyAlignment="1">
      <alignment/>
    </xf>
    <xf numFmtId="0" fontId="92" fillId="0" borderId="0" xfId="0" applyFont="1" applyFill="1" applyAlignment="1">
      <alignment/>
    </xf>
    <xf numFmtId="0" fontId="92" fillId="0" borderId="0" xfId="0" applyFont="1" applyAlignment="1">
      <alignment wrapText="1"/>
    </xf>
    <xf numFmtId="0" fontId="93" fillId="0" borderId="0" xfId="0" applyFont="1" applyAlignment="1">
      <alignment/>
    </xf>
    <xf numFmtId="0" fontId="44" fillId="0" borderId="0" xfId="0" applyFont="1" applyFill="1" applyAlignment="1">
      <alignment/>
    </xf>
    <xf numFmtId="0" fontId="0" fillId="38" borderId="14" xfId="0" applyFont="1" applyFill="1" applyBorder="1" applyAlignment="1" applyProtection="1">
      <alignment/>
      <protection/>
    </xf>
    <xf numFmtId="0" fontId="31" fillId="0" borderId="0" xfId="0" applyFont="1" applyAlignment="1" applyProtection="1">
      <alignment/>
      <protection/>
    </xf>
    <xf numFmtId="0" fontId="16" fillId="38" borderId="14" xfId="0" applyFont="1" applyFill="1" applyBorder="1" applyAlignment="1" applyProtection="1">
      <alignment/>
      <protection locked="0"/>
    </xf>
    <xf numFmtId="0" fontId="19" fillId="0" borderId="0" xfId="0" applyFont="1" applyFill="1" applyAlignment="1" applyProtection="1">
      <alignment/>
      <protection locked="0"/>
    </xf>
    <xf numFmtId="0" fontId="6" fillId="0" borderId="0" xfId="0" applyFont="1" applyFill="1" applyAlignment="1" applyProtection="1">
      <alignment/>
      <protection/>
    </xf>
    <xf numFmtId="0" fontId="72" fillId="0" borderId="0" xfId="0" applyFont="1" applyAlignment="1" applyProtection="1">
      <alignment/>
      <protection/>
    </xf>
    <xf numFmtId="0" fontId="59" fillId="0" borderId="0" xfId="0" applyFont="1" applyAlignment="1" applyProtection="1">
      <alignment/>
      <protection locked="0"/>
    </xf>
    <xf numFmtId="0" fontId="94" fillId="0" borderId="0" xfId="0" applyFont="1" applyFill="1" applyAlignment="1">
      <alignment/>
    </xf>
    <xf numFmtId="0" fontId="13" fillId="0" borderId="0" xfId="0" applyFont="1" applyFill="1" applyAlignment="1">
      <alignment/>
    </xf>
    <xf numFmtId="0" fontId="16" fillId="38" borderId="14" xfId="0" applyFont="1" applyFill="1" applyBorder="1" applyAlignment="1" applyProtection="1">
      <alignment horizontal="right"/>
      <protection locked="0"/>
    </xf>
    <xf numFmtId="0" fontId="7" fillId="38" borderId="14" xfId="0" applyFont="1" applyFill="1" applyBorder="1" applyAlignment="1" applyProtection="1">
      <alignment horizontal="right"/>
      <protection locked="0"/>
    </xf>
    <xf numFmtId="0" fontId="7" fillId="38" borderId="14" xfId="0" applyFont="1" applyFill="1" applyBorder="1" applyAlignment="1" applyProtection="1">
      <alignment/>
      <protection locked="0"/>
    </xf>
    <xf numFmtId="0" fontId="56" fillId="0" borderId="0" xfId="0" applyFont="1" applyFill="1" applyAlignment="1">
      <alignment horizontal="center"/>
    </xf>
    <xf numFmtId="4" fontId="0" fillId="0" borderId="0" xfId="0" applyNumberFormat="1" applyFont="1" applyAlignment="1" applyProtection="1">
      <alignment/>
      <protection/>
    </xf>
    <xf numFmtId="0" fontId="18" fillId="40" borderId="0" xfId="0" applyFont="1" applyFill="1" applyAlignment="1" applyProtection="1">
      <alignment/>
      <protection locked="0"/>
    </xf>
    <xf numFmtId="0" fontId="0" fillId="41" borderId="0" xfId="0" applyFill="1" applyAlignment="1">
      <alignment vertical="center"/>
    </xf>
    <xf numFmtId="195" fontId="0" fillId="41" borderId="0" xfId="0" applyNumberFormat="1" applyFill="1" applyAlignment="1">
      <alignment/>
    </xf>
    <xf numFmtId="0" fontId="19" fillId="0" borderId="15"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15" xfId="0" applyFont="1" applyFill="1" applyBorder="1" applyAlignment="1" applyProtection="1">
      <alignment horizontal="center"/>
      <protection locked="0"/>
    </xf>
    <xf numFmtId="0" fontId="19" fillId="0" borderId="16" xfId="0" applyFont="1" applyFill="1" applyBorder="1" applyAlignment="1" applyProtection="1">
      <alignment horizontal="center"/>
      <protection locked="0"/>
    </xf>
    <xf numFmtId="0" fontId="19" fillId="38" borderId="15" xfId="0" applyFont="1" applyFill="1" applyBorder="1" applyAlignment="1" applyProtection="1">
      <alignment horizontal="center"/>
      <protection locked="0"/>
    </xf>
    <xf numFmtId="0" fontId="19" fillId="38" borderId="16" xfId="0" applyFont="1" applyFill="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5" xfId="0" applyFont="1" applyBorder="1" applyAlignment="1" applyProtection="1">
      <alignment horizontal="center"/>
      <protection locked="0"/>
    </xf>
    <xf numFmtId="0" fontId="57" fillId="0" borderId="0" xfId="0" applyFont="1" applyBorder="1" applyAlignment="1" applyProtection="1">
      <alignment horizontal="center"/>
      <protection locked="0"/>
    </xf>
    <xf numFmtId="0" fontId="19" fillId="38" borderId="17" xfId="0" applyFont="1" applyFill="1" applyBorder="1" applyAlignment="1" applyProtection="1">
      <alignment horizontal="center"/>
      <protection locked="0"/>
    </xf>
    <xf numFmtId="0" fontId="37" fillId="0" borderId="15" xfId="0" applyFont="1" applyBorder="1" applyAlignment="1" applyProtection="1">
      <alignment horizontal="center"/>
      <protection locked="0"/>
    </xf>
    <xf numFmtId="0" fontId="37" fillId="0" borderId="16" xfId="0" applyFont="1" applyBorder="1" applyAlignment="1" applyProtection="1">
      <alignment horizontal="center"/>
      <protection locked="0"/>
    </xf>
    <xf numFmtId="0" fontId="19" fillId="0" borderId="0" xfId="0" applyFont="1" applyFill="1" applyBorder="1" applyAlignment="1" applyProtection="1">
      <alignment horizontal="center"/>
      <protection locked="0"/>
    </xf>
    <xf numFmtId="0" fontId="37" fillId="0" borderId="15" xfId="0" applyFont="1" applyFill="1" applyBorder="1" applyAlignment="1" applyProtection="1">
      <alignment horizontal="center"/>
      <protection locked="0"/>
    </xf>
    <xf numFmtId="0" fontId="37" fillId="0" borderId="16" xfId="0" applyFont="1" applyFill="1" applyBorder="1" applyAlignment="1" applyProtection="1">
      <alignment horizontal="center"/>
      <protection locked="0"/>
    </xf>
    <xf numFmtId="0" fontId="37" fillId="38" borderId="15" xfId="0" applyFont="1" applyFill="1" applyBorder="1" applyAlignment="1" applyProtection="1">
      <alignment horizontal="center"/>
      <protection locked="0"/>
    </xf>
    <xf numFmtId="0" fontId="37" fillId="38" borderId="16" xfId="0" applyFont="1" applyFill="1" applyBorder="1" applyAlignment="1" applyProtection="1">
      <alignment horizontal="center"/>
      <protection locked="0"/>
    </xf>
    <xf numFmtId="0" fontId="19" fillId="0" borderId="17" xfId="0" applyFont="1" applyFill="1" applyBorder="1" applyAlignment="1" applyProtection="1">
      <alignment horizontal="center"/>
      <protection locked="0"/>
    </xf>
    <xf numFmtId="0" fontId="36" fillId="0" borderId="0" xfId="0" applyFont="1" applyBorder="1" applyAlignment="1" applyProtection="1">
      <alignment horizontal="center"/>
      <protection locked="0"/>
    </xf>
    <xf numFmtId="0" fontId="19" fillId="38" borderId="15"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25">
    <dxf>
      <font>
        <color indexed="48"/>
      </font>
      <fill>
        <patternFill>
          <bgColor indexed="41"/>
        </patternFill>
      </fill>
      <border>
        <left style="thin"/>
        <right style="thin"/>
        <top style="thin"/>
        <bottom style="thin"/>
      </border>
    </dxf>
    <dxf>
      <font>
        <color indexed="48"/>
      </font>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b/>
        <i/>
        <color indexed="48"/>
      </font>
      <fill>
        <patternFill patternType="none">
          <bgColor indexed="65"/>
        </patternFill>
      </fill>
      <border>
        <left style="thin"/>
        <right style="thin"/>
        <top style="thin"/>
        <bottom style="thin"/>
      </border>
    </dxf>
    <dxf>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b/>
        <i/>
        <color indexed="48"/>
      </font>
      <fill>
        <patternFill patternType="solid">
          <bgColor indexed="41"/>
        </patternFill>
      </fill>
      <border>
        <left style="thin"/>
        <right style="thin"/>
        <top style="thin"/>
        <bottom style="thin"/>
      </border>
    </dxf>
    <dxf>
      <font>
        <b/>
        <i/>
        <color indexed="48"/>
      </font>
      <fill>
        <patternFill patternType="solid">
          <bgColor indexed="41"/>
        </patternFill>
      </fill>
      <border>
        <left style="thin"/>
        <right style="thin"/>
        <top style="thin"/>
        <bottom style="thin"/>
      </border>
    </dxf>
    <dxf>
      <font>
        <b/>
        <i/>
        <color indexed="48"/>
      </font>
      <fill>
        <patternFill patternType="solid">
          <bgColor indexed="41"/>
        </patternFill>
      </fill>
      <border>
        <left style="thin"/>
        <right style="thin"/>
        <top style="thin"/>
        <bottom style="thin"/>
      </border>
    </dxf>
    <dxf>
      <font>
        <b/>
        <i/>
        <color rgb="FF3366FF"/>
      </font>
      <fill>
        <patternFill patternType="solid">
          <bgColor rgb="FFCCFFFF"/>
        </patternFill>
      </fill>
      <border>
        <left style="thin">
          <color rgb="FF000000"/>
        </left>
        <right style="thin">
          <color rgb="FF000000"/>
        </right>
        <top style="thin"/>
        <bottom style="thin">
          <color rgb="FF000000"/>
        </bottom>
      </border>
    </dxf>
    <dxf>
      <font>
        <color rgb="FF3366FF"/>
      </font>
      <border>
        <left style="thin">
          <color rgb="FF000000"/>
        </left>
        <right style="thin">
          <color rgb="FF000000"/>
        </right>
        <top style="thin"/>
        <bottom style="thin">
          <color rgb="FF000000"/>
        </bottom>
      </border>
    </dxf>
    <dxf>
      <font>
        <b/>
        <i/>
        <color rgb="FF3366FF"/>
      </font>
      <fill>
        <patternFill patternType="none">
          <bgColor indexed="65"/>
        </patternFill>
      </fill>
      <border>
        <left style="thin">
          <color rgb="FF000000"/>
        </left>
        <right style="thin">
          <color rgb="FF000000"/>
        </right>
        <top style="thin"/>
        <bottom style="thin">
          <color rgb="FF000000"/>
        </bottom>
      </border>
    </dxf>
    <dxf>
      <font>
        <color rgb="FF3366FF"/>
      </font>
      <fill>
        <patternFill>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Saneringsonderdelen</a:t>
            </a:r>
          </a:p>
        </c:rich>
      </c:tx>
      <c:layout>
        <c:manualLayout>
          <c:xMode val="factor"/>
          <c:yMode val="factor"/>
          <c:x val="-0.004"/>
          <c:y val="-0.01"/>
        </c:manualLayout>
      </c:layout>
      <c:spPr>
        <a:noFill/>
        <a:ln>
          <a:noFill/>
        </a:ln>
      </c:spPr>
    </c:title>
    <c:plotArea>
      <c:layout>
        <c:manualLayout>
          <c:xMode val="edge"/>
          <c:yMode val="edge"/>
          <c:x val="0.06825"/>
          <c:y val="0.1665"/>
          <c:w val="0.90925"/>
          <c:h val="0.684"/>
        </c:manualLayout>
      </c:layout>
      <c:barChart>
        <c:barDir val="bar"/>
        <c:grouping val="clustered"/>
        <c:varyColors val="0"/>
        <c:ser>
          <c:idx val="0"/>
          <c:order val="0"/>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(Uitvoerscherm!$B$14,Uitvoerscherm!$H$14,Uitvoerscherm!$N$14,Uitvoerscherm!$B$21,Uitvoerscherm!$H$21,Uitvoerscherm!$N$21,Uitvoerscherm!$B$29,Uitvoerscherm!$H$29,Uitvoerscherm!$N$29,Uitvoerscherm!$B$37)</c:f>
              <c:strCache/>
            </c:strRef>
          </c:cat>
          <c:val>
            <c:numRef>
              <c:f>(Uitvoerscherm!$E$14,Uitvoerscherm!$K$14,Uitvoerscherm!$Q$14,Uitvoerscherm!$E$21,Uitvoerscherm!$K$21,Uitvoerscherm!$Q$21,Uitvoerscherm!$E$29,Uitvoerscherm!$K$29,Uitvoerscherm!$Q$29,Uitvoerscherm!$E$37)</c:f>
              <c:numCache/>
            </c:numRef>
          </c:val>
        </c:ser>
        <c:gapWidth val="75"/>
        <c:axId val="9107253"/>
        <c:axId val="14856414"/>
      </c:barChart>
      <c:catAx>
        <c:axId val="9107253"/>
        <c:scaling>
          <c:orientation val="maxMin"/>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4856414"/>
        <c:crosses val="autoZero"/>
        <c:auto val="1"/>
        <c:lblOffset val="100"/>
        <c:tickLblSkip val="1"/>
        <c:noMultiLvlLbl val="0"/>
      </c:catAx>
      <c:valAx>
        <c:axId val="14856414"/>
        <c:scaling>
          <c:orientation val="minMax"/>
        </c:scaling>
        <c:axPos val="t"/>
        <c:title>
          <c:tx>
            <c:rich>
              <a:bodyPr vert="horz" rot="0" anchor="ctr"/>
              <a:lstStyle/>
              <a:p>
                <a:pPr algn="ctr">
                  <a:defRPr/>
                </a:pPr>
                <a:r>
                  <a:rPr lang="en-US" cap="none" sz="1000" b="1" i="0" u="none" baseline="0">
                    <a:solidFill>
                      <a:srgbClr val="000000"/>
                    </a:solidFill>
                  </a:rPr>
                  <a:t>CO2 geproduceerd in kg</a:t>
                </a:r>
              </a:p>
            </c:rich>
          </c:tx>
          <c:layout>
            <c:manualLayout>
              <c:xMode val="factor"/>
              <c:yMode val="factor"/>
              <c:x val="0.13925"/>
              <c:y val="0.0025"/>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3175">
            <a:noFill/>
          </a:ln>
        </c:spPr>
        <c:txPr>
          <a:bodyPr vert="horz" rot="0"/>
          <a:lstStyle/>
          <a:p>
            <a:pPr>
              <a:defRPr lang="en-US" cap="none" sz="800" b="0" i="0" u="none" baseline="0">
                <a:solidFill>
                  <a:srgbClr val="000000"/>
                </a:solidFill>
              </a:defRPr>
            </a:pPr>
          </a:p>
        </c:txPr>
        <c:crossAx val="910725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Toezicht en Nazorg</a:t>
            </a:r>
          </a:p>
        </c:rich>
      </c:tx>
      <c:layout>
        <c:manualLayout>
          <c:xMode val="factor"/>
          <c:yMode val="factor"/>
          <c:x val="-0.002"/>
          <c:y val="-0.01075"/>
        </c:manualLayout>
      </c:layout>
      <c:spPr>
        <a:noFill/>
        <a:ln>
          <a:noFill/>
        </a:ln>
      </c:spPr>
    </c:title>
    <c:plotArea>
      <c:layout>
        <c:manualLayout>
          <c:xMode val="edge"/>
          <c:yMode val="edge"/>
          <c:x val="0.131"/>
          <c:y val="0.228"/>
          <c:w val="0.395"/>
          <c:h val="0.6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0.0" sourceLinked="0"/>
            <c:showLegendKey val="0"/>
            <c:showVal val="1"/>
            <c:showBubbleSize val="0"/>
            <c:showCatName val="0"/>
            <c:showSerName val="0"/>
            <c:showLeaderLines val="1"/>
            <c:showPercent val="0"/>
          </c:dLbls>
          <c:cat>
            <c:strRef>
              <c:f>Uitvoerscherm!$O$31:$O$35</c:f>
              <c:strCache/>
            </c:strRef>
          </c:cat>
          <c:val>
            <c:numRef>
              <c:f>Uitvoerscherm!$P$31:$P$35</c:f>
              <c:numCache/>
            </c:numRef>
          </c:val>
        </c:ser>
      </c:pieChart>
      <c:spPr>
        <a:noFill/>
        <a:ln>
          <a:noFill/>
        </a:ln>
      </c:spPr>
    </c:plotArea>
    <c:legend>
      <c:legendPos val="r"/>
      <c:layout>
        <c:manualLayout>
          <c:xMode val="edge"/>
          <c:yMode val="edge"/>
          <c:x val="0.66175"/>
          <c:y val="0.34525"/>
          <c:w val="0.32125"/>
          <c:h val="0.42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Overige varianten</a:t>
            </a:r>
          </a:p>
        </c:rich>
      </c:tx>
      <c:layout>
        <c:manualLayout>
          <c:xMode val="factor"/>
          <c:yMode val="factor"/>
          <c:x val="-0.004"/>
          <c:y val="-0.01075"/>
        </c:manualLayout>
      </c:layout>
      <c:spPr>
        <a:noFill/>
        <a:ln>
          <a:noFill/>
        </a:ln>
      </c:spPr>
    </c:title>
    <c:plotArea>
      <c:layout>
        <c:manualLayout>
          <c:xMode val="edge"/>
          <c:yMode val="edge"/>
          <c:x val="0.1355"/>
          <c:y val="0.22375"/>
          <c:w val="0.38275"/>
          <c:h val="0.67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0" sourceLinked="0"/>
            <c:showLegendKey val="0"/>
            <c:showVal val="1"/>
            <c:showBubbleSize val="0"/>
            <c:showCatName val="0"/>
            <c:showSerName val="0"/>
            <c:showLeaderLines val="1"/>
            <c:showPercent val="0"/>
          </c:dLbls>
          <c:cat>
            <c:strRef>
              <c:f>Uitvoerscherm!$C$39:$C$41</c:f>
              <c:strCache/>
            </c:strRef>
          </c:cat>
          <c:val>
            <c:numRef>
              <c:f>Uitvoerscherm!$D$39:$D$41</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pPr>
              <a:solidFill>
                <a:srgbClr val="FFFFFF"/>
              </a:solidFill>
              <a:ln w="3175">
                <a:solidFill>
                  <a:srgbClr val="000000"/>
                </a:solidFill>
              </a:ln>
            </c:spPr>
            <c:showLegendKey val="0"/>
            <c:showVal val="0"/>
            <c:showBubbleSize val="0"/>
            <c:showCatName val="0"/>
            <c:showSerName val="0"/>
            <c:showLeaderLines val="1"/>
            <c:showPercent val="1"/>
          </c:dLbls>
          <c:cat>
            <c:strRef>
              <c:f>Uitvoerscherm!$C$39:$C$41</c:f>
              <c:strCache/>
            </c:strRef>
          </c:cat>
          <c:val>
            <c:numRef>
              <c:f>Uitvoerscherm!$J$31:$J$33</c:f>
              <c:numCache/>
            </c:numRef>
          </c:val>
        </c:ser>
      </c:pieChart>
      <c:spPr>
        <a:noFill/>
        <a:ln>
          <a:noFill/>
        </a:ln>
      </c:spPr>
    </c:plotArea>
    <c:legend>
      <c:legendPos val="r"/>
      <c:layout>
        <c:manualLayout>
          <c:xMode val="edge"/>
          <c:yMode val="edge"/>
          <c:x val="0.666"/>
          <c:y val="0.34525"/>
          <c:w val="0.30775"/>
          <c:h val="0.42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Ontgraven Landbodem</a:t>
            </a:r>
          </a:p>
        </c:rich>
      </c:tx>
      <c:layout>
        <c:manualLayout>
          <c:xMode val="factor"/>
          <c:yMode val="factor"/>
          <c:x val="-0.00425"/>
          <c:y val="-0.01"/>
        </c:manualLayout>
      </c:layout>
      <c:spPr>
        <a:noFill/>
        <a:ln>
          <a:noFill/>
        </a:ln>
      </c:spPr>
    </c:title>
    <c:plotArea>
      <c:layout>
        <c:manualLayout>
          <c:xMode val="edge"/>
          <c:yMode val="edge"/>
          <c:x val="0.2035"/>
          <c:y val="0.239"/>
          <c:w val="0.39625"/>
          <c:h val="0.64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0.0" sourceLinked="0"/>
            <c:showLegendKey val="0"/>
            <c:showVal val="1"/>
            <c:showBubbleSize val="0"/>
            <c:showCatName val="0"/>
            <c:showSerName val="0"/>
            <c:showLeaderLines val="1"/>
            <c:showPercent val="0"/>
          </c:dLbls>
          <c:cat>
            <c:strRef>
              <c:f>Uitvoerscherm!$C$16:$C$19</c:f>
              <c:strCache/>
            </c:strRef>
          </c:cat>
          <c:val>
            <c:numRef>
              <c:f>Uitvoerscherm!$D$16:$D$19</c:f>
              <c:numCache/>
            </c:numRef>
          </c:val>
        </c:ser>
      </c:pieChart>
      <c:spPr>
        <a:noFill/>
        <a:ln>
          <a:noFill/>
        </a:ln>
      </c:spPr>
    </c:plotArea>
    <c:legend>
      <c:legendPos val="r"/>
      <c:layout>
        <c:manualLayout>
          <c:xMode val="edge"/>
          <c:yMode val="edge"/>
          <c:x val="0.8195"/>
          <c:y val="0.39725"/>
          <c:w val="0.17225"/>
          <c:h val="0.319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Grondwater onttrekken</a:t>
            </a:r>
          </a:p>
        </c:rich>
      </c:tx>
      <c:layout>
        <c:manualLayout>
          <c:xMode val="factor"/>
          <c:yMode val="factor"/>
          <c:x val="-0.004"/>
          <c:y val="-0.01025"/>
        </c:manualLayout>
      </c:layout>
      <c:spPr>
        <a:noFill/>
        <a:ln>
          <a:noFill/>
        </a:ln>
      </c:spPr>
    </c:title>
    <c:plotArea>
      <c:layout>
        <c:manualLayout>
          <c:xMode val="edge"/>
          <c:yMode val="edge"/>
          <c:x val="0.179"/>
          <c:y val="0.23"/>
          <c:w val="0.39375"/>
          <c:h val="0.66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0" sourceLinked="0"/>
            <c:showLegendKey val="0"/>
            <c:showVal val="1"/>
            <c:showBubbleSize val="0"/>
            <c:showCatName val="0"/>
            <c:showSerName val="0"/>
            <c:showLeaderLines val="1"/>
            <c:showPercent val="0"/>
          </c:dLbls>
          <c:cat>
            <c:strRef>
              <c:f>Uitvoerscherm!$I$16:$I$18</c:f>
              <c:strCache/>
            </c:strRef>
          </c:cat>
          <c:val>
            <c:numRef>
              <c:f>Uitvoerscherm!$J$16:$J$18</c:f>
              <c:numCache/>
            </c:numRef>
          </c:val>
        </c:ser>
      </c:pieChart>
      <c:spPr>
        <a:noFill/>
        <a:ln>
          <a:noFill/>
        </a:ln>
      </c:spPr>
    </c:plotArea>
    <c:legend>
      <c:legendPos val="r"/>
      <c:layout>
        <c:manualLayout>
          <c:xMode val="edge"/>
          <c:yMode val="edge"/>
          <c:x val="0.76825"/>
          <c:y val="0.44675"/>
          <c:w val="0.2175"/>
          <c:h val="0.244"/>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Grondwater zuiveren</a:t>
            </a:r>
          </a:p>
        </c:rich>
      </c:tx>
      <c:layout>
        <c:manualLayout>
          <c:xMode val="factor"/>
          <c:yMode val="factor"/>
          <c:x val="-0.002"/>
          <c:y val="-0.01025"/>
        </c:manualLayout>
      </c:layout>
      <c:spPr>
        <a:noFill/>
        <a:ln>
          <a:noFill/>
        </a:ln>
      </c:spPr>
    </c:title>
    <c:plotArea>
      <c:layout>
        <c:manualLayout>
          <c:xMode val="edge"/>
          <c:yMode val="edge"/>
          <c:x val="0.12025"/>
          <c:y val="0.2335"/>
          <c:w val="0.39625"/>
          <c:h val="0.656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LeaderLines val="1"/>
            <c:showPercent val="0"/>
          </c:dLbls>
          <c:cat>
            <c:strRef>
              <c:f>Uitvoerscherm!$O$16:$O$19</c:f>
              <c:strCache/>
            </c:strRef>
          </c:cat>
          <c:val>
            <c:numRef>
              <c:f>Uitvoerscherm!$P$16:$P$19</c:f>
              <c:numCache/>
            </c:numRef>
          </c:val>
        </c:ser>
      </c:pieChart>
      <c:spPr>
        <a:noFill/>
        <a:ln>
          <a:noFill/>
        </a:ln>
      </c:spPr>
    </c:plotArea>
    <c:legend>
      <c:legendPos val="r"/>
      <c:layout>
        <c:manualLayout>
          <c:xMode val="edge"/>
          <c:yMode val="edge"/>
          <c:x val="0.6495"/>
          <c:y val="0.39875"/>
          <c:w val="0.33825"/>
          <c:h val="0.3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PLI en BLE</a:t>
            </a:r>
          </a:p>
        </c:rich>
      </c:tx>
      <c:layout>
        <c:manualLayout>
          <c:xMode val="factor"/>
          <c:yMode val="factor"/>
          <c:x val="0.01425"/>
          <c:y val="-0.018"/>
        </c:manualLayout>
      </c:layout>
      <c:spPr>
        <a:noFill/>
        <a:ln>
          <a:noFill/>
        </a:ln>
      </c:spPr>
    </c:title>
    <c:plotArea>
      <c:layout>
        <c:manualLayout>
          <c:xMode val="edge"/>
          <c:yMode val="edge"/>
          <c:x val="0.136"/>
          <c:y val="0.22225"/>
          <c:w val="0.38425"/>
          <c:h val="0.6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0.0" sourceLinked="0"/>
            <c:showLegendKey val="0"/>
            <c:showVal val="1"/>
            <c:showBubbleSize val="0"/>
            <c:showCatName val="0"/>
            <c:showSerName val="0"/>
            <c:showLeaderLines val="1"/>
            <c:showPercent val="0"/>
          </c:dLbls>
          <c:cat>
            <c:strRef>
              <c:f>Uitvoerscherm!$C$23:$C$26</c:f>
              <c:strCache/>
            </c:strRef>
          </c:cat>
          <c:val>
            <c:numRef>
              <c:f>Uitvoerscherm!$D$23:$D$26</c:f>
              <c:numCache/>
            </c:numRef>
          </c:val>
        </c:ser>
      </c:pieChart>
      <c:spPr>
        <a:noFill/>
        <a:ln>
          <a:noFill/>
        </a:ln>
      </c:spPr>
    </c:plotArea>
    <c:legend>
      <c:legendPos val="r"/>
      <c:layout>
        <c:manualLayout>
          <c:xMode val="edge"/>
          <c:yMode val="edge"/>
          <c:x val="0.6625"/>
          <c:y val="0.39075"/>
          <c:w val="0.309"/>
          <c:h val="0.340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MFE</a:t>
            </a:r>
          </a:p>
        </c:rich>
      </c:tx>
      <c:layout>
        <c:manualLayout>
          <c:xMode val="factor"/>
          <c:yMode val="factor"/>
          <c:x val="-0.00425"/>
          <c:y val="-0.01075"/>
        </c:manualLayout>
      </c:layout>
      <c:spPr>
        <a:noFill/>
        <a:ln>
          <a:noFill/>
        </a:ln>
      </c:spPr>
    </c:title>
    <c:plotArea>
      <c:layout>
        <c:manualLayout>
          <c:xMode val="edge"/>
          <c:yMode val="edge"/>
          <c:x val="0.1305"/>
          <c:y val="0.22225"/>
          <c:w val="0.39225"/>
          <c:h val="0.6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0" sourceLinked="0"/>
            <c:showLegendKey val="0"/>
            <c:showVal val="1"/>
            <c:showBubbleSize val="0"/>
            <c:showCatName val="0"/>
            <c:showSerName val="0"/>
            <c:showLeaderLines val="1"/>
            <c:showPercent val="0"/>
          </c:dLbls>
          <c:cat>
            <c:strRef>
              <c:f>Uitvoerscherm!$I$23:$I$25</c:f>
              <c:strCache/>
            </c:strRef>
          </c:cat>
          <c:val>
            <c:numRef>
              <c:f>Uitvoerscherm!$J$23:$J$25</c:f>
              <c:numCache/>
            </c:numRef>
          </c:val>
        </c:ser>
      </c:pieChart>
      <c:spPr>
        <a:noFill/>
        <a:ln>
          <a:noFill/>
        </a:ln>
      </c:spPr>
    </c:plotArea>
    <c:legend>
      <c:legendPos val="r"/>
      <c:layout>
        <c:manualLayout>
          <c:xMode val="edge"/>
          <c:yMode val="edge"/>
          <c:x val="0.66175"/>
          <c:y val="0.43"/>
          <c:w val="0.31525"/>
          <c:h val="0.254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ISCO</a:t>
            </a:r>
          </a:p>
        </c:rich>
      </c:tx>
      <c:layout>
        <c:manualLayout>
          <c:xMode val="factor"/>
          <c:yMode val="factor"/>
          <c:x val="-0.002"/>
          <c:y val="-0.01075"/>
        </c:manualLayout>
      </c:layout>
      <c:spPr>
        <a:noFill/>
        <a:ln>
          <a:noFill/>
        </a:ln>
      </c:spPr>
    </c:title>
    <c:plotArea>
      <c:layout>
        <c:manualLayout>
          <c:xMode val="edge"/>
          <c:yMode val="edge"/>
          <c:x val="0.136"/>
          <c:y val="0.22225"/>
          <c:w val="0.38425"/>
          <c:h val="0.6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LeaderLines val="1"/>
            <c:showPercent val="0"/>
          </c:dLbls>
          <c:cat>
            <c:strRef>
              <c:f>Uitvoerscherm!$O$23:$O$27</c:f>
              <c:strCache/>
            </c:strRef>
          </c:cat>
          <c:val>
            <c:numRef>
              <c:f>Uitvoerscherm!$P$23:$P$27</c:f>
              <c:numCache/>
            </c:numRef>
          </c:val>
        </c:ser>
      </c:pieChart>
      <c:spPr>
        <a:noFill/>
        <a:ln>
          <a:noFill/>
        </a:ln>
      </c:spPr>
    </c:plotArea>
    <c:legend>
      <c:legendPos val="r"/>
      <c:layout>
        <c:manualLayout>
          <c:xMode val="edge"/>
          <c:yMode val="edge"/>
          <c:x val="0.66475"/>
          <c:y val="0.344"/>
          <c:w val="0.309"/>
          <c:h val="0.4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Biostimulatie</a:t>
            </a:r>
          </a:p>
        </c:rich>
      </c:tx>
      <c:layout>
        <c:manualLayout>
          <c:xMode val="factor"/>
          <c:yMode val="factor"/>
          <c:x val="-0.00425"/>
          <c:y val="-0.01075"/>
        </c:manualLayout>
      </c:layout>
      <c:spPr>
        <a:noFill/>
        <a:ln>
          <a:noFill/>
        </a:ln>
      </c:spPr>
    </c:title>
    <c:plotArea>
      <c:layout>
        <c:manualLayout>
          <c:xMode val="edge"/>
          <c:yMode val="edge"/>
          <c:x val="0.1305"/>
          <c:y val="0.22225"/>
          <c:w val="0.39225"/>
          <c:h val="0.6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0.0" sourceLinked="0"/>
            <c:showLegendKey val="0"/>
            <c:showVal val="1"/>
            <c:showBubbleSize val="0"/>
            <c:showCatName val="0"/>
            <c:showSerName val="0"/>
            <c:showLeaderLines val="1"/>
            <c:showPercent val="0"/>
          </c:dLbls>
          <c:cat>
            <c:strRef>
              <c:f>Uitvoerscherm!$C$31:$C$35</c:f>
              <c:strCache/>
            </c:strRef>
          </c:cat>
          <c:val>
            <c:numRef>
              <c:f>Uitvoerscherm!$D$31:$D$35</c:f>
              <c:numCache/>
            </c:numRef>
          </c:val>
        </c:ser>
      </c:pieChart>
      <c:spPr>
        <a:noFill/>
        <a:ln>
          <a:noFill/>
        </a:ln>
      </c:spPr>
    </c:plotArea>
    <c:legend>
      <c:legendPos val="r"/>
      <c:layout>
        <c:manualLayout>
          <c:xMode val="edge"/>
          <c:yMode val="edge"/>
          <c:x val="0.66175"/>
          <c:y val="0.34775"/>
          <c:w val="0.31525"/>
          <c:h val="0.4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Thermisch</a:t>
            </a:r>
          </a:p>
        </c:rich>
      </c:tx>
      <c:layout>
        <c:manualLayout>
          <c:xMode val="factor"/>
          <c:yMode val="factor"/>
          <c:x val="-0.002"/>
          <c:y val="-0.01075"/>
        </c:manualLayout>
      </c:layout>
      <c:spPr>
        <a:noFill/>
        <a:ln>
          <a:noFill/>
        </a:ln>
      </c:spPr>
    </c:title>
    <c:plotArea>
      <c:layout>
        <c:manualLayout>
          <c:xMode val="edge"/>
          <c:yMode val="edge"/>
          <c:x val="0.13575"/>
          <c:y val="0.2215"/>
          <c:w val="0.38525"/>
          <c:h val="0.67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0" sourceLinked="0"/>
            <c:showLegendKey val="0"/>
            <c:showVal val="1"/>
            <c:showBubbleSize val="0"/>
            <c:showCatName val="0"/>
            <c:showSerName val="0"/>
            <c:showLeaderLines val="1"/>
            <c:showPercent val="0"/>
          </c:dLbls>
          <c:cat>
            <c:strRef>
              <c:f>Uitvoerscherm!$I$31:$I$33</c:f>
              <c:strCache/>
            </c:strRef>
          </c:cat>
          <c:val>
            <c:numRef>
              <c:f>Uitvoerscherm!$J$31:$J$33</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pPr>
              <a:solidFill>
                <a:srgbClr val="FFFFFF"/>
              </a:solidFill>
              <a:ln w="3175">
                <a:solidFill>
                  <a:srgbClr val="000000"/>
                </a:solidFill>
              </a:ln>
            </c:spPr>
            <c:showLegendKey val="0"/>
            <c:showVal val="0"/>
            <c:showBubbleSize val="0"/>
            <c:showCatName val="0"/>
            <c:showSerName val="0"/>
            <c:showLeaderLines val="1"/>
            <c:showPercent val="1"/>
          </c:dLbls>
          <c:cat>
            <c:strRef>
              <c:f>Uitvoerscherm!$I$31:$I$33</c:f>
              <c:strCache/>
            </c:strRef>
          </c:cat>
          <c:val>
            <c:numRef>
              <c:f>Uitvoerscherm!$J$31:$J$33</c:f>
              <c:numCache/>
            </c:numRef>
          </c:val>
        </c:ser>
      </c:pieChart>
      <c:spPr>
        <a:noFill/>
        <a:ln>
          <a:noFill/>
        </a:ln>
      </c:spPr>
    </c:plotArea>
    <c:legend>
      <c:legendPos val="r"/>
      <c:layout>
        <c:manualLayout>
          <c:xMode val="edge"/>
          <c:yMode val="edge"/>
          <c:x val="0.66525"/>
          <c:y val="0.3465"/>
          <c:w val="0.30825"/>
          <c:h val="0.4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hyperlink" Target="http://www.knmi.nl/samenw/hydra/4wasp/ecofys-logo.gif" TargetMode="External" /><Relationship Id="rId7" Type="http://schemas.openxmlformats.org/officeDocument/2006/relationships/hyperlink" Target="http://www.knmi.nl/samenw/hydra/4wasp/ecofys-logo.gif" TargetMode="External" /><Relationship Id="rId8" Type="http://schemas.openxmlformats.org/officeDocument/2006/relationships/image" Target="../media/image6.png" /><Relationship Id="rId9" Type="http://schemas.openxmlformats.org/officeDocument/2006/relationships/hyperlink" Target="http://www.gtbv.nl/" TargetMode="External" /><Relationship Id="rId10" Type="http://schemas.openxmlformats.org/officeDocument/2006/relationships/hyperlink" Target="http://www.gtbv.nl/" TargetMode="External" /><Relationship Id="rId11" Type="http://schemas.openxmlformats.org/officeDocument/2006/relationships/image" Target="../media/image7.jpeg" /><Relationship Id="rId12" Type="http://schemas.openxmlformats.org/officeDocument/2006/relationships/image" Target="../media/image8.emf" /><Relationship Id="rId13"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hyperlink" Target="http://www.knmi.nl/samenw/hydra/4wasp/ecofys-logo.gif" TargetMode="External" /><Relationship Id="rId7" Type="http://schemas.openxmlformats.org/officeDocument/2006/relationships/hyperlink" Target="http://www.knmi.nl/samenw/hydra/4wasp/ecofys-logo.gif" TargetMode="External" /><Relationship Id="rId8" Type="http://schemas.openxmlformats.org/officeDocument/2006/relationships/image" Target="../media/image6.png" /><Relationship Id="rId9" Type="http://schemas.openxmlformats.org/officeDocument/2006/relationships/hyperlink" Target="http://www.gtbv.nl/" TargetMode="External" /><Relationship Id="rId10" Type="http://schemas.openxmlformats.org/officeDocument/2006/relationships/hyperlink" Target="http://www.gtbv.nl/" TargetMode="External" /><Relationship Id="rId11"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2.png" /><Relationship Id="rId13" Type="http://schemas.openxmlformats.org/officeDocument/2006/relationships/image" Target="../media/image3.png" /><Relationship Id="rId14" Type="http://schemas.openxmlformats.org/officeDocument/2006/relationships/image" Target="../media/image4.png" /><Relationship Id="rId15" Type="http://schemas.openxmlformats.org/officeDocument/2006/relationships/image" Target="../media/image5.jpeg" /><Relationship Id="rId16" Type="http://schemas.openxmlformats.org/officeDocument/2006/relationships/hyperlink" Target="http://www.knmi.nl/samenw/hydra/4wasp/ecofys-logo.gif" TargetMode="External" /><Relationship Id="rId17" Type="http://schemas.openxmlformats.org/officeDocument/2006/relationships/hyperlink" Target="http://www.knmi.nl/samenw/hydra/4wasp/ecofys-logo.gif" TargetMode="External" /><Relationship Id="rId18" Type="http://schemas.openxmlformats.org/officeDocument/2006/relationships/image" Target="../media/image6.png" /><Relationship Id="rId19" Type="http://schemas.openxmlformats.org/officeDocument/2006/relationships/hyperlink" Target="http://www.gtbv.nl/" TargetMode="External" /><Relationship Id="rId20" Type="http://schemas.openxmlformats.org/officeDocument/2006/relationships/hyperlink" Target="http://www.gtbv.nl/" TargetMode="External" /><Relationship Id="rId21" Type="http://schemas.openxmlformats.org/officeDocument/2006/relationships/image" Target="../media/image7.jpeg" /><Relationship Id="rId2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123825</xdr:rowOff>
    </xdr:from>
    <xdr:to>
      <xdr:col>17</xdr:col>
      <xdr:colOff>428625</xdr:colOff>
      <xdr:row>58</xdr:row>
      <xdr:rowOff>152400</xdr:rowOff>
    </xdr:to>
    <xdr:sp>
      <xdr:nvSpPr>
        <xdr:cNvPr id="1" name="Text Box 1"/>
        <xdr:cNvSpPr txBox="1">
          <a:spLocks noChangeArrowheads="1"/>
        </xdr:cNvSpPr>
      </xdr:nvSpPr>
      <xdr:spPr>
        <a:xfrm>
          <a:off x="209550" y="123825"/>
          <a:ext cx="10582275" cy="9420225"/>
        </a:xfrm>
        <a:prstGeom prst="rect">
          <a:avLst/>
        </a:prstGeom>
        <a:noFill/>
        <a:ln w="9525" cmpd="sng">
          <a:solidFill>
            <a:srgbClr val="800080"/>
          </a:solidFill>
          <a:headEnd type="none"/>
          <a:tailEnd type="none"/>
        </a:ln>
      </xdr:spPr>
      <xdr:txBody>
        <a:bodyPr vertOverflow="clip" wrap="square" lIns="36576" tIns="27432" rIns="0" bIns="0"/>
        <a:p>
          <a:pPr algn="l">
            <a:defRPr/>
          </a:pPr>
          <a:r>
            <a:rPr lang="en-US" cap="none" sz="1400" b="1" i="0" u="none" baseline="0">
              <a:solidFill>
                <a:srgbClr val="800080"/>
              </a:solidFill>
              <a:latin typeface="Arial"/>
              <a:ea typeface="Arial"/>
              <a:cs typeface="Arial"/>
            </a:rPr>
            <a:t>Gebruiksinstructie rekenmodel</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Het rekenmodel is opgebouwd uit een zestal tabbladen:
</a:t>
          </a:r>
          <a:r>
            <a:rPr lang="en-US" cap="none" sz="1000" b="0" i="0" u="none" baseline="0">
              <a:solidFill>
                <a:srgbClr val="800080"/>
              </a:solidFill>
              <a:latin typeface="Arial"/>
              <a:ea typeface="Arial"/>
              <a:cs typeface="Arial"/>
            </a:rPr>
            <a:t>1. Invoerscherm
</a:t>
          </a:r>
          <a:r>
            <a:rPr lang="en-US" cap="none" sz="1000" b="0" i="0" u="none" baseline="0">
              <a:solidFill>
                <a:srgbClr val="800080"/>
              </a:solidFill>
              <a:latin typeface="Arial"/>
              <a:ea typeface="Arial"/>
              <a:cs typeface="Arial"/>
            </a:rPr>
            <a:t>2. Uitvoerscherm
</a:t>
          </a:r>
          <a:r>
            <a:rPr lang="en-US" cap="none" sz="1000" b="0" i="0" u="none" baseline="0">
              <a:solidFill>
                <a:srgbClr val="800080"/>
              </a:solidFill>
              <a:latin typeface="Arial"/>
              <a:ea typeface="Arial"/>
              <a:cs typeface="Arial"/>
            </a:rPr>
            <a:t>3. Datablad 1
</a:t>
          </a:r>
          <a:r>
            <a:rPr lang="en-US" cap="none" sz="1000" b="0" i="0" u="none" baseline="0">
              <a:solidFill>
                <a:srgbClr val="800080"/>
              </a:solidFill>
              <a:latin typeface="Arial"/>
              <a:ea typeface="Arial"/>
              <a:cs typeface="Arial"/>
            </a:rPr>
            <a:t>4. Datablad 2
</a:t>
          </a:r>
          <a:r>
            <a:rPr lang="en-US" cap="none" sz="1000" b="0" i="0" u="none" baseline="0">
              <a:solidFill>
                <a:srgbClr val="800080"/>
              </a:solidFill>
              <a:latin typeface="Arial"/>
              <a:ea typeface="Arial"/>
              <a:cs typeface="Arial"/>
            </a:rPr>
            <a:t>5. Datablad 3
</a:t>
          </a:r>
          <a:r>
            <a:rPr lang="en-US" cap="none" sz="1000" b="0" i="0" u="none" baseline="0">
              <a:solidFill>
                <a:srgbClr val="800080"/>
              </a:solidFill>
              <a:latin typeface="Arial"/>
              <a:ea typeface="Arial"/>
              <a:cs typeface="Arial"/>
            </a:rPr>
            <a:t>6. Berekeningen
</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Invoerscherm</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Op het tabblad ‘Invoerscherm’ kunnen de gegevens voor de berekening worden ingevoerd. Bovenaan het tabblad worden de algemene projectgegevens en gegevens met betrekking tot de verontreinigingsituatie gevraagd.
</a:t>
          </a:r>
          <a:r>
            <a:rPr lang="en-US" cap="none" sz="1000" b="0" i="0" u="none" baseline="0">
              <a:solidFill>
                <a:srgbClr val="800080"/>
              </a:solidFill>
              <a:latin typeface="Arial"/>
              <a:ea typeface="Arial"/>
              <a:cs typeface="Arial"/>
            </a:rPr>
            <a:t>Vervolgens kunnen via de   en   knop de invoerregels per saneringsonderdeel (ontgraven, grondwater onttrekken, grondwater zuiveren, PLI en BLE, MFE, ISCO, biostimulatie, toezicht en nazorg) zichtbaar of verborgen worden. 
</a:t>
          </a:r>
          <a:r>
            <a:rPr lang="en-US" cap="none" sz="1000" b="0" i="0" u="none" baseline="0">
              <a:solidFill>
                <a:srgbClr val="800080"/>
              </a:solidFill>
              <a:latin typeface="Arial"/>
              <a:ea typeface="Arial"/>
              <a:cs typeface="Arial"/>
            </a:rPr>
            <a:t>Per saneringsonderdeel worden de benodigde gegevens doorlopen door waarden in te voeren en keuzes te maken via de keuzelijsten (selecteer de cel en klik op het pijltje aan de rechterkant).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Voor enkele onderdelen is het mogelijk een zogenaamde ‘gestandaardiseerde berekening’ uit te voeren of men kan kiezen voor de optie ‘zelf details invoeren’. Afhankelijk van de keuze die gemaakt wordt, worden meer of minder invoervakken zichtbaar.
</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Uitvoerscherm</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Nadat alle gegevens zijn ingevoerd kan men op het tabblad ‘Uitvoerscherm’ de resultaten van het model bekijken. De resultaten zijn zowel in tabelvorm als grafisch gepresenteerd. De grafieken kunnen desgewenst nog worden aangepast.
</a:t>
          </a:r>
          <a:r>
            <a:rPr lang="en-US" cap="none" sz="1000" b="0" i="0" u="none" baseline="0">
              <a:solidFill>
                <a:srgbClr val="800080"/>
              </a:solidFill>
              <a:latin typeface="Arial"/>
              <a:ea typeface="Arial"/>
              <a:cs typeface="Arial"/>
            </a:rPr>
            <a:t>
</a:t>
          </a:r>
          <a:r>
            <a:rPr lang="en-US" cap="none" sz="1000" b="1" i="0" u="none" baseline="0">
              <a:solidFill>
                <a:srgbClr val="800080"/>
              </a:solidFill>
              <a:latin typeface="Arial"/>
              <a:ea typeface="Arial"/>
              <a:cs typeface="Arial"/>
            </a:rPr>
            <a:t>Uitgangspunten en randvoorwaarden CO2-model</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Algemeen</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Voor zover in de datasheets een waarderange wordt aangehouden voor energiespecificaties van materieel en materialen, wordt in de uitvoer gerekend met het gemiddelde van deze range
</a:t>
          </a:r>
          <a:r>
            <a:rPr lang="en-US" cap="none" sz="1000" b="0" i="0" u="none" baseline="0">
              <a:solidFill>
                <a:srgbClr val="800080"/>
              </a:solidFill>
              <a:latin typeface="Arial"/>
              <a:ea typeface="Arial"/>
              <a:cs typeface="Arial"/>
            </a:rPr>
            <a:t>* De samenstelling van en daarmee de CO2-uitstoot ten gevolge van stroom is gebaseerd op de Nederlandse situatie in 2007 en 2008. In de toekomst kunnen deze kentallen veranderen.   Bovendien zullen deze kentallen in het buitenland anders liggen, met name door een andere samenstelling van grijze en groene stroom in het buitenland
</a:t>
          </a:r>
          <a:r>
            <a:rPr lang="en-US" cap="none" sz="1000" b="0" i="0" u="none" baseline="0">
              <a:solidFill>
                <a:srgbClr val="800080"/>
              </a:solidFill>
              <a:latin typeface="Arial"/>
              <a:ea typeface="Arial"/>
              <a:cs typeface="Arial"/>
            </a:rPr>
            <a:t>* De keuze voor meerdere vormen van energie voor één activiteit is niet mogelijk. Voor elke activiteit kan geen combinatie van verschillende vormen van energie worden ingezet
</a:t>
          </a:r>
          <a:r>
            <a:rPr lang="en-US" cap="none" sz="1000" b="0" i="0" u="none" baseline="0">
              <a:solidFill>
                <a:srgbClr val="800080"/>
              </a:solidFill>
              <a:latin typeface="Arial"/>
              <a:ea typeface="Arial"/>
              <a:cs typeface="Arial"/>
            </a:rPr>
            <a:t>* De PER-waarde van energieverbruikend materieel (zoals vrachtwagens en pompen) wordt verwaarloosbaar verondersteld ten opzichte van het energieverbruik (brandstof, elektriciteit) ervan gedurende de technische levensduur
</a:t>
          </a:r>
          <a:r>
            <a:rPr lang="en-US" cap="none" sz="1000" b="0" i="0" u="none" baseline="0">
              <a:solidFill>
                <a:srgbClr val="800080"/>
              </a:solidFill>
              <a:latin typeface="Arial"/>
              <a:ea typeface="Arial"/>
              <a:cs typeface="Arial"/>
            </a:rPr>
            <a:t>* Er wordt niet gerekend met de PER-waarde van materialen van gebouwen (zuiveringsgebouwen, keet) die ingezet worden voor een sanering. In het geval van een zuiveringsgebouw wordt natuurlijk wel met de inhoud van het gebouw (de zuiveringsonderdelen) gerekend
</a:t>
          </a:r>
          <a:r>
            <a:rPr lang="en-US" cap="none" sz="1000" b="0" i="0" u="none" baseline="0">
              <a:solidFill>
                <a:srgbClr val="800080"/>
              </a:solidFill>
              <a:latin typeface="Arial"/>
              <a:ea typeface="Arial"/>
              <a:cs typeface="Arial"/>
            </a:rPr>
            <a:t>* De PER-waarden voor de verschillende materialen zijn gebaseerd op normale productieprocessen, met gebruik van grijze stroom of fossiele brandstoffen. Mocht in een specifiek geval een materiaal zijn geproduceerd met een hernieuwbare vorm van energie, dan dient de in te vullen absolute hoeveelheid van dat materiaal aangepast te worden door een relatieve hoeveelheid die dezelfde factor lager ligt als de factor tussen CO2-emissie per kWh van grijze stroom / fossiele brandstoffen en de alternatieve energiebron
</a:t>
          </a:r>
          <a:r>
            <a:rPr lang="en-US" cap="none" sz="1000" b="0" i="0" u="none" baseline="0">
              <a:solidFill>
                <a:srgbClr val="800080"/>
              </a:solidFill>
              <a:latin typeface="Arial"/>
              <a:ea typeface="Arial"/>
              <a:cs typeface="Arial"/>
            </a:rPr>
            <a:t>* De groene velden in het model zijn van doorslaggevende betekenis voor de uitkomst. Deze dienen minimaal ingevuld te worden
</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Techniekspecifiek</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Voor de damwanden wordt gerekend met 15% van de productie-energie (PER-waarde) voor een tijdelijke toepassing, uitgaande van maximaal 7 keer gebruik van een damwand. Voor een permanente toepassing van de damwand wordt gerekend met 100% van de PER-waarde
</a:t>
          </a:r>
          <a:r>
            <a:rPr lang="en-US" cap="none" sz="1000" b="0" i="0" u="none" baseline="0">
              <a:solidFill>
                <a:srgbClr val="800080"/>
              </a:solidFill>
              <a:latin typeface="Arial"/>
              <a:ea typeface="Arial"/>
              <a:cs typeface="Arial"/>
            </a:rPr>
            <a:t>* De debieten die ingevoerd moeten worden voor de striptoren zijn waterdebieten. Achter de schermen wordt vervolgens gerekend met het energieverbruik van de bijbehorende luchtventilatoren
</a:t>
          </a:r>
          <a:r>
            <a:rPr lang="en-US" cap="none" sz="1000" b="0" i="0" u="none" baseline="0">
              <a:solidFill>
                <a:srgbClr val="800080"/>
              </a:solidFill>
              <a:latin typeface="Arial"/>
              <a:ea typeface="Arial"/>
              <a:cs typeface="Arial"/>
            </a:rPr>
            <a:t>* Bij het gebruik van actieve kool voor zuivering van lucht en grondwater wordt gerekend met geregenereerde actieve kool, aangezien dit meestal in de bodemsaneringswereld wordt toegepast
</a:t>
          </a:r>
          <a:r>
            <a:rPr lang="en-US" cap="none" sz="1000" b="0" i="0" u="none" baseline="0">
              <a:solidFill>
                <a:srgbClr val="800080"/>
              </a:solidFill>
              <a:latin typeface="Arial"/>
              <a:ea typeface="Arial"/>
              <a:cs typeface="Arial"/>
            </a:rPr>
            <a:t>* Bij bodemverwarming is de energiespecificatie gebaseerd op 3 maanden voor stoomgestimuleerde extractie (SGE, stoomgeneratie), 3 maanden voor verwarmingselementen (tot kookpunt) en 3 jaar voor three phase heating (TPH, tot 40 ºC)
</a:t>
          </a:r>
          <a:r>
            <a:rPr lang="en-US" cap="none" sz="1000" b="0" i="0" u="none" baseline="0">
              <a:solidFill>
                <a:srgbClr val="800080"/>
              </a:solidFill>
              <a:latin typeface="Arial"/>
              <a:ea typeface="Arial"/>
              <a:cs typeface="Arial"/>
            </a:rPr>
            <a:t>
</a:t>
          </a:r>
          <a:r>
            <a:rPr lang="en-US" cap="none" sz="1000" b="1" i="0" u="none" baseline="0">
              <a:solidFill>
                <a:srgbClr val="800080"/>
              </a:solidFill>
              <a:latin typeface="Arial"/>
              <a:ea typeface="Arial"/>
              <a:cs typeface="Arial"/>
            </a:rPr>
            <a:t>Gebruik van MS Excel-versie Vista en hoger</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Indien het model wordt geopend in een MS Excel-versie van Vista (en hoger) dienen de macro's in het model te worden ingeschakeld voor juiste werking van het rekenblad.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Dit kan via de volgende stappen worden ingesteld:
</a:t>
          </a:r>
          <a:r>
            <a:rPr lang="en-US" cap="none" sz="1000" b="0" i="0" u="none" baseline="0">
              <a:solidFill>
                <a:srgbClr val="800080"/>
              </a:solidFill>
              <a:latin typeface="Arial"/>
              <a:ea typeface="Arial"/>
              <a:cs typeface="Arial"/>
            </a:rPr>
            <a:t>* Klik op het excel/microsoft rondje linksboven aan het scherm
</a:t>
          </a:r>
          <a:r>
            <a:rPr lang="en-US" cap="none" sz="1000" b="0" i="0" u="none" baseline="0">
              <a:solidFill>
                <a:srgbClr val="800080"/>
              </a:solidFill>
              <a:latin typeface="Arial"/>
              <a:ea typeface="Arial"/>
              <a:cs typeface="Arial"/>
            </a:rPr>
            <a:t>* Kies de knop 'opties voor excel'
</a:t>
          </a:r>
          <a:r>
            <a:rPr lang="en-US" cap="none" sz="1000" b="0" i="0" u="none" baseline="0">
              <a:solidFill>
                <a:srgbClr val="800080"/>
              </a:solidFill>
              <a:latin typeface="Arial"/>
              <a:ea typeface="Arial"/>
              <a:cs typeface="Arial"/>
            </a:rPr>
            <a:t>* Kies tabblad 'vertrouwenscentrum'
</a:t>
          </a:r>
          <a:r>
            <a:rPr lang="en-US" cap="none" sz="1000" b="0" i="0" u="none" baseline="0">
              <a:solidFill>
                <a:srgbClr val="800080"/>
              </a:solidFill>
              <a:latin typeface="Arial"/>
              <a:ea typeface="Arial"/>
              <a:cs typeface="Arial"/>
            </a:rPr>
            <a:t>* Kies knop 'instellingen voor vertrouwenscentrum'
</a:t>
          </a:r>
          <a:r>
            <a:rPr lang="en-US" cap="none" sz="1000" b="0" i="0" u="none" baseline="0">
              <a:solidFill>
                <a:srgbClr val="800080"/>
              </a:solidFill>
              <a:latin typeface="Arial"/>
              <a:ea typeface="Arial"/>
              <a:cs typeface="Arial"/>
            </a:rPr>
            <a:t>* Kies tabblad 'instellingen voor macro's
</a:t>
          </a:r>
          <a:r>
            <a:rPr lang="en-US" cap="none" sz="1000" b="0" i="0" u="none" baseline="0">
              <a:solidFill>
                <a:srgbClr val="800080"/>
              </a:solidFill>
              <a:latin typeface="Arial"/>
              <a:ea typeface="Arial"/>
              <a:cs typeface="Arial"/>
            </a:rPr>
            <a:t>* Kies 'alle macro's inschakelen'</a:t>
          </a:r>
        </a:p>
      </xdr:txBody>
    </xdr:sp>
    <xdr:clientData/>
  </xdr:twoCellAnchor>
  <xdr:twoCellAnchor editAs="oneCell">
    <xdr:from>
      <xdr:col>2</xdr:col>
      <xdr:colOff>152400</xdr:colOff>
      <xdr:row>63</xdr:row>
      <xdr:rowOff>104775</xdr:rowOff>
    </xdr:from>
    <xdr:to>
      <xdr:col>4</xdr:col>
      <xdr:colOff>371475</xdr:colOff>
      <xdr:row>66</xdr:row>
      <xdr:rowOff>47625</xdr:rowOff>
    </xdr:to>
    <xdr:pic>
      <xdr:nvPicPr>
        <xdr:cNvPr id="2" name="Picture 2" descr="LOGO gekleurd bmp"/>
        <xdr:cNvPicPr preferRelativeResize="1">
          <a:picLocks noChangeAspect="1"/>
        </xdr:cNvPicPr>
      </xdr:nvPicPr>
      <xdr:blipFill>
        <a:blip r:embed="rId1"/>
        <a:stretch>
          <a:fillRect/>
        </a:stretch>
      </xdr:blipFill>
      <xdr:spPr>
        <a:xfrm>
          <a:off x="1371600" y="10306050"/>
          <a:ext cx="1438275" cy="428625"/>
        </a:xfrm>
        <a:prstGeom prst="rect">
          <a:avLst/>
        </a:prstGeom>
        <a:noFill/>
        <a:ln w="9525" cmpd="sng">
          <a:noFill/>
        </a:ln>
      </xdr:spPr>
    </xdr:pic>
    <xdr:clientData/>
  </xdr:twoCellAnchor>
  <xdr:twoCellAnchor>
    <xdr:from>
      <xdr:col>6</xdr:col>
      <xdr:colOff>600075</xdr:colOff>
      <xdr:row>63</xdr:row>
      <xdr:rowOff>28575</xdr:rowOff>
    </xdr:from>
    <xdr:to>
      <xdr:col>8</xdr:col>
      <xdr:colOff>57150</xdr:colOff>
      <xdr:row>65</xdr:row>
      <xdr:rowOff>142875</xdr:rowOff>
    </xdr:to>
    <xdr:pic>
      <xdr:nvPicPr>
        <xdr:cNvPr id="3" name="Picture 8" descr="logo"/>
        <xdr:cNvPicPr preferRelativeResize="1">
          <a:picLocks noChangeAspect="1"/>
        </xdr:cNvPicPr>
      </xdr:nvPicPr>
      <xdr:blipFill>
        <a:blip r:embed="rId2"/>
        <a:stretch>
          <a:fillRect/>
        </a:stretch>
      </xdr:blipFill>
      <xdr:spPr>
        <a:xfrm>
          <a:off x="4257675" y="10229850"/>
          <a:ext cx="676275" cy="438150"/>
        </a:xfrm>
        <a:prstGeom prst="rect">
          <a:avLst/>
        </a:prstGeom>
        <a:noFill/>
        <a:ln w="9525" cmpd="sng">
          <a:noFill/>
        </a:ln>
      </xdr:spPr>
    </xdr:pic>
    <xdr:clientData/>
  </xdr:twoCellAnchor>
  <xdr:twoCellAnchor>
    <xdr:from>
      <xdr:col>8</xdr:col>
      <xdr:colOff>409575</xdr:colOff>
      <xdr:row>63</xdr:row>
      <xdr:rowOff>0</xdr:rowOff>
    </xdr:from>
    <xdr:to>
      <xdr:col>9</xdr:col>
      <xdr:colOff>161925</xdr:colOff>
      <xdr:row>66</xdr:row>
      <xdr:rowOff>66675</xdr:rowOff>
    </xdr:to>
    <xdr:pic>
      <xdr:nvPicPr>
        <xdr:cNvPr id="4" name="Picture 9" descr="boven"/>
        <xdr:cNvPicPr preferRelativeResize="1">
          <a:picLocks noChangeAspect="1"/>
        </xdr:cNvPicPr>
      </xdr:nvPicPr>
      <xdr:blipFill>
        <a:blip r:embed="rId3"/>
        <a:stretch>
          <a:fillRect/>
        </a:stretch>
      </xdr:blipFill>
      <xdr:spPr>
        <a:xfrm>
          <a:off x="5286375" y="10201275"/>
          <a:ext cx="361950" cy="552450"/>
        </a:xfrm>
        <a:prstGeom prst="rect">
          <a:avLst/>
        </a:prstGeom>
        <a:noFill/>
        <a:ln w="9525" cmpd="sng">
          <a:noFill/>
        </a:ln>
      </xdr:spPr>
    </xdr:pic>
    <xdr:clientData/>
  </xdr:twoCellAnchor>
  <xdr:twoCellAnchor>
    <xdr:from>
      <xdr:col>9</xdr:col>
      <xdr:colOff>400050</xdr:colOff>
      <xdr:row>63</xdr:row>
      <xdr:rowOff>142875</xdr:rowOff>
    </xdr:from>
    <xdr:to>
      <xdr:col>11</xdr:col>
      <xdr:colOff>0</xdr:colOff>
      <xdr:row>65</xdr:row>
      <xdr:rowOff>38100</xdr:rowOff>
    </xdr:to>
    <xdr:pic>
      <xdr:nvPicPr>
        <xdr:cNvPr id="5" name="Picture 10" descr="Provincie Overijssel"/>
        <xdr:cNvPicPr preferRelativeResize="1">
          <a:picLocks noChangeAspect="1"/>
        </xdr:cNvPicPr>
      </xdr:nvPicPr>
      <xdr:blipFill>
        <a:blip r:embed="rId4"/>
        <a:stretch>
          <a:fillRect/>
        </a:stretch>
      </xdr:blipFill>
      <xdr:spPr>
        <a:xfrm>
          <a:off x="5886450" y="10344150"/>
          <a:ext cx="819150" cy="219075"/>
        </a:xfrm>
        <a:prstGeom prst="rect">
          <a:avLst/>
        </a:prstGeom>
        <a:noFill/>
        <a:ln w="9525" cmpd="sng">
          <a:noFill/>
        </a:ln>
      </xdr:spPr>
    </xdr:pic>
    <xdr:clientData/>
  </xdr:twoCellAnchor>
  <xdr:twoCellAnchor>
    <xdr:from>
      <xdr:col>5</xdr:col>
      <xdr:colOff>238125</xdr:colOff>
      <xdr:row>63</xdr:row>
      <xdr:rowOff>142875</xdr:rowOff>
    </xdr:from>
    <xdr:to>
      <xdr:col>6</xdr:col>
      <xdr:colOff>371475</xdr:colOff>
      <xdr:row>65</xdr:row>
      <xdr:rowOff>123825</xdr:rowOff>
    </xdr:to>
    <xdr:pic>
      <xdr:nvPicPr>
        <xdr:cNvPr id="6" name="Picture 5" descr="ecofys-logo">
          <a:hlinkClick r:id="rId7"/>
        </xdr:cNvPr>
        <xdr:cNvPicPr preferRelativeResize="1">
          <a:picLocks noChangeAspect="1"/>
        </xdr:cNvPicPr>
      </xdr:nvPicPr>
      <xdr:blipFill>
        <a:blip r:embed="rId5"/>
        <a:stretch>
          <a:fillRect/>
        </a:stretch>
      </xdr:blipFill>
      <xdr:spPr>
        <a:xfrm>
          <a:off x="3286125" y="10344150"/>
          <a:ext cx="742950" cy="304800"/>
        </a:xfrm>
        <a:prstGeom prst="rect">
          <a:avLst/>
        </a:prstGeom>
        <a:noFill/>
        <a:ln w="9525" cmpd="sng">
          <a:noFill/>
        </a:ln>
      </xdr:spPr>
    </xdr:pic>
    <xdr:clientData/>
  </xdr:twoCellAnchor>
  <xdr:twoCellAnchor>
    <xdr:from>
      <xdr:col>12</xdr:col>
      <xdr:colOff>590550</xdr:colOff>
      <xdr:row>63</xdr:row>
      <xdr:rowOff>85725</xdr:rowOff>
    </xdr:from>
    <xdr:to>
      <xdr:col>14</xdr:col>
      <xdr:colOff>266700</xdr:colOff>
      <xdr:row>65</xdr:row>
      <xdr:rowOff>76200</xdr:rowOff>
    </xdr:to>
    <xdr:pic>
      <xdr:nvPicPr>
        <xdr:cNvPr id="7" name="Picture 7" descr="Groundwater Technology">
          <a:hlinkClick r:id="rId10"/>
        </xdr:cNvPr>
        <xdr:cNvPicPr preferRelativeResize="1">
          <a:picLocks noChangeAspect="1"/>
        </xdr:cNvPicPr>
      </xdr:nvPicPr>
      <xdr:blipFill>
        <a:blip r:embed="rId8"/>
        <a:stretch>
          <a:fillRect/>
        </a:stretch>
      </xdr:blipFill>
      <xdr:spPr>
        <a:xfrm>
          <a:off x="7905750" y="10287000"/>
          <a:ext cx="895350" cy="314325"/>
        </a:xfrm>
        <a:prstGeom prst="rect">
          <a:avLst/>
        </a:prstGeom>
        <a:noFill/>
        <a:ln w="9525" cmpd="sng">
          <a:noFill/>
        </a:ln>
      </xdr:spPr>
    </xdr:pic>
    <xdr:clientData/>
  </xdr:twoCellAnchor>
  <xdr:twoCellAnchor>
    <xdr:from>
      <xdr:col>11</xdr:col>
      <xdr:colOff>190500</xdr:colOff>
      <xdr:row>63</xdr:row>
      <xdr:rowOff>38100</xdr:rowOff>
    </xdr:from>
    <xdr:to>
      <xdr:col>12</xdr:col>
      <xdr:colOff>304800</xdr:colOff>
      <xdr:row>66</xdr:row>
      <xdr:rowOff>9525</xdr:rowOff>
    </xdr:to>
    <xdr:pic>
      <xdr:nvPicPr>
        <xdr:cNvPr id="8" name="Picture 6" descr="Heijmansnieuw_350"/>
        <xdr:cNvPicPr preferRelativeResize="1">
          <a:picLocks noChangeAspect="1"/>
        </xdr:cNvPicPr>
      </xdr:nvPicPr>
      <xdr:blipFill>
        <a:blip r:embed="rId11"/>
        <a:stretch>
          <a:fillRect/>
        </a:stretch>
      </xdr:blipFill>
      <xdr:spPr>
        <a:xfrm>
          <a:off x="6896100" y="10239375"/>
          <a:ext cx="723900" cy="457200"/>
        </a:xfrm>
        <a:prstGeom prst="rect">
          <a:avLst/>
        </a:prstGeom>
        <a:noFill/>
        <a:ln w="9525" cmpd="sng">
          <a:noFill/>
        </a:ln>
      </xdr:spPr>
    </xdr:pic>
    <xdr:clientData/>
  </xdr:twoCellAnchor>
  <xdr:twoCellAnchor>
    <xdr:from>
      <xdr:col>2</xdr:col>
      <xdr:colOff>419100</xdr:colOff>
      <xdr:row>14</xdr:row>
      <xdr:rowOff>47625</xdr:rowOff>
    </xdr:from>
    <xdr:to>
      <xdr:col>2</xdr:col>
      <xdr:colOff>523875</xdr:colOff>
      <xdr:row>15</xdr:row>
      <xdr:rowOff>9525</xdr:rowOff>
    </xdr:to>
    <xdr:pic>
      <xdr:nvPicPr>
        <xdr:cNvPr id="9" name="Picture 9"/>
        <xdr:cNvPicPr preferRelativeResize="1">
          <a:picLocks noChangeAspect="1"/>
        </xdr:cNvPicPr>
      </xdr:nvPicPr>
      <xdr:blipFill>
        <a:blip r:embed="rId12"/>
        <a:stretch>
          <a:fillRect/>
        </a:stretch>
      </xdr:blipFill>
      <xdr:spPr>
        <a:xfrm>
          <a:off x="1638300" y="2314575"/>
          <a:ext cx="104775" cy="123825"/>
        </a:xfrm>
        <a:prstGeom prst="rect">
          <a:avLst/>
        </a:prstGeom>
        <a:noFill/>
        <a:ln w="9525" cmpd="sng">
          <a:noFill/>
        </a:ln>
      </xdr:spPr>
    </xdr:pic>
    <xdr:clientData/>
  </xdr:twoCellAnchor>
  <xdr:twoCellAnchor>
    <xdr:from>
      <xdr:col>3</xdr:col>
      <xdr:colOff>57150</xdr:colOff>
      <xdr:row>14</xdr:row>
      <xdr:rowOff>47625</xdr:rowOff>
    </xdr:from>
    <xdr:to>
      <xdr:col>3</xdr:col>
      <xdr:colOff>171450</xdr:colOff>
      <xdr:row>15</xdr:row>
      <xdr:rowOff>19050</xdr:rowOff>
    </xdr:to>
    <xdr:pic>
      <xdr:nvPicPr>
        <xdr:cNvPr id="10" name="Picture 10"/>
        <xdr:cNvPicPr preferRelativeResize="1">
          <a:picLocks noChangeAspect="1"/>
        </xdr:cNvPicPr>
      </xdr:nvPicPr>
      <xdr:blipFill>
        <a:blip r:embed="rId13"/>
        <a:stretch>
          <a:fillRect/>
        </a:stretch>
      </xdr:blipFill>
      <xdr:spPr>
        <a:xfrm>
          <a:off x="1885950" y="2314575"/>
          <a:ext cx="114300" cy="133350"/>
        </a:xfrm>
        <a:prstGeom prst="rect">
          <a:avLst/>
        </a:prstGeom>
        <a:noFill/>
        <a:ln w="9525" cmpd="sng">
          <a:noFill/>
        </a:ln>
      </xdr:spPr>
    </xdr:pic>
    <xdr:clientData/>
  </xdr:twoCellAnchor>
  <xdr:twoCellAnchor>
    <xdr:from>
      <xdr:col>0</xdr:col>
      <xdr:colOff>219075</xdr:colOff>
      <xdr:row>59</xdr:row>
      <xdr:rowOff>76200</xdr:rowOff>
    </xdr:from>
    <xdr:to>
      <xdr:col>17</xdr:col>
      <xdr:colOff>428625</xdr:colOff>
      <xdr:row>76</xdr:row>
      <xdr:rowOff>0</xdr:rowOff>
    </xdr:to>
    <xdr:sp>
      <xdr:nvSpPr>
        <xdr:cNvPr id="11" name="Text Box 12"/>
        <xdr:cNvSpPr txBox="1">
          <a:spLocks noChangeArrowheads="1"/>
        </xdr:cNvSpPr>
      </xdr:nvSpPr>
      <xdr:spPr>
        <a:xfrm>
          <a:off x="219075" y="9629775"/>
          <a:ext cx="10572750" cy="2676525"/>
        </a:xfrm>
        <a:prstGeom prst="rect">
          <a:avLst/>
        </a:prstGeom>
        <a:noFill/>
        <a:ln w="9525" cmpd="sng">
          <a:solidFill>
            <a:srgbClr val="800080"/>
          </a:solidFill>
          <a:headEnd type="none"/>
          <a:tailEnd type="none"/>
        </a:ln>
      </xdr:spPr>
      <xdr:txBody>
        <a:bodyPr vertOverflow="clip" wrap="square" lIns="36576" tIns="27432" rIns="0" bIns="0"/>
        <a:p>
          <a:pPr algn="l">
            <a:defRPr/>
          </a:pPr>
          <a:r>
            <a:rPr lang="en-US" cap="none" sz="1400" b="1" i="0" u="none" baseline="0">
              <a:solidFill>
                <a:srgbClr val="800080"/>
              </a:solidFill>
              <a:latin typeface="Arial"/>
              <a:ea typeface="Arial"/>
              <a:cs typeface="Arial"/>
            </a:rPr>
            <a:t>Colofon</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Het CO2-model is ontwikkeld in het kader van een SKB-project in een consortium van: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Contactpersonen Tauw</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Charles Pijls, Tobias Praamstra en Karen de Roo 
</a:t>
          </a:r>
          <a:r>
            <a:rPr lang="en-US" cap="none" sz="1000" b="0" i="0" u="none" baseline="0">
              <a:solidFill>
                <a:srgbClr val="800080"/>
              </a:solidFill>
              <a:latin typeface="Arial"/>
              <a:ea typeface="Arial"/>
              <a:cs typeface="Arial"/>
            </a:rPr>
            <a:t>
</a:t>
          </a:r>
          <a:r>
            <a:rPr lang="en-US" cap="none" sz="800" b="0" i="0" u="none" baseline="0">
              <a:solidFill>
                <a:srgbClr val="800080"/>
              </a:solidFill>
              <a:latin typeface="Arial"/>
              <a:ea typeface="Arial"/>
              <a:cs typeface="Arial"/>
            </a:rPr>
            <a:t>Tauw bv
</a:t>
          </a:r>
          <a:r>
            <a:rPr lang="en-US" cap="none" sz="800" b="0" i="0" u="none" baseline="0">
              <a:solidFill>
                <a:srgbClr val="800080"/>
              </a:solidFill>
              <a:latin typeface="Arial"/>
              <a:ea typeface="Arial"/>
              <a:cs typeface="Arial"/>
            </a:rPr>
            <a:t>Handelskade 11
</a:t>
          </a:r>
          <a:r>
            <a:rPr lang="en-US" cap="none" sz="800" b="0" i="0" u="none" baseline="0">
              <a:solidFill>
                <a:srgbClr val="800080"/>
              </a:solidFill>
              <a:latin typeface="Arial"/>
              <a:ea typeface="Arial"/>
              <a:cs typeface="Arial"/>
            </a:rPr>
            <a:t>Postbus 133
</a:t>
          </a:r>
          <a:r>
            <a:rPr lang="en-US" cap="none" sz="800" b="0" i="0" u="none" baseline="0">
              <a:solidFill>
                <a:srgbClr val="800080"/>
              </a:solidFill>
              <a:latin typeface="Arial"/>
              <a:ea typeface="Arial"/>
              <a:cs typeface="Arial"/>
            </a:rPr>
            <a:t>7400 AC Deventer
</a:t>
          </a:r>
          <a:r>
            <a:rPr lang="en-US" cap="none" sz="800" b="0" i="0" u="none" baseline="0">
              <a:solidFill>
                <a:srgbClr val="800080"/>
              </a:solidFill>
              <a:latin typeface="Arial"/>
              <a:ea typeface="Arial"/>
              <a:cs typeface="Arial"/>
            </a:rPr>
            <a:t>(0570) 69 99 11
</a:t>
          </a:r>
          <a:r>
            <a:rPr lang="en-US" cap="none" sz="800" b="0" i="0" u="none" baseline="0">
              <a:solidFill>
                <a:srgbClr val="800080"/>
              </a:solidFill>
              <a:latin typeface="Arial"/>
              <a:ea typeface="Arial"/>
              <a:cs typeface="Arial"/>
            </a:rPr>
            <a:t>www.tauw.nl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209550</xdr:rowOff>
    </xdr:from>
    <xdr:to>
      <xdr:col>2</xdr:col>
      <xdr:colOff>571500</xdr:colOff>
      <xdr:row>3</xdr:row>
      <xdr:rowOff>66675</xdr:rowOff>
    </xdr:to>
    <xdr:pic>
      <xdr:nvPicPr>
        <xdr:cNvPr id="1" name="Picture 2" descr="LOGO gekleurd bmp"/>
        <xdr:cNvPicPr preferRelativeResize="1">
          <a:picLocks noChangeAspect="1"/>
        </xdr:cNvPicPr>
      </xdr:nvPicPr>
      <xdr:blipFill>
        <a:blip r:embed="rId1"/>
        <a:stretch>
          <a:fillRect/>
        </a:stretch>
      </xdr:blipFill>
      <xdr:spPr>
        <a:xfrm>
          <a:off x="352425" y="209550"/>
          <a:ext cx="1438275" cy="428625"/>
        </a:xfrm>
        <a:prstGeom prst="rect">
          <a:avLst/>
        </a:prstGeom>
        <a:noFill/>
        <a:ln w="9525" cmpd="sng">
          <a:noFill/>
        </a:ln>
      </xdr:spPr>
    </xdr:pic>
    <xdr:clientData/>
  </xdr:twoCellAnchor>
  <xdr:twoCellAnchor>
    <xdr:from>
      <xdr:col>0</xdr:col>
      <xdr:colOff>257175</xdr:colOff>
      <xdr:row>44</xdr:row>
      <xdr:rowOff>38100</xdr:rowOff>
    </xdr:from>
    <xdr:to>
      <xdr:col>0</xdr:col>
      <xdr:colOff>457200</xdr:colOff>
      <xdr:row>45</xdr:row>
      <xdr:rowOff>47625</xdr:rowOff>
    </xdr:to>
    <xdr:sp macro="[0]!LANDBODEM_TOON_ONDERDEEL">
      <xdr:nvSpPr>
        <xdr:cNvPr id="2" name="AutoShape 105"/>
        <xdr:cNvSpPr>
          <a:spLocks noChangeAspect="1"/>
        </xdr:cNvSpPr>
      </xdr:nvSpPr>
      <xdr:spPr>
        <a:xfrm>
          <a:off x="257175" y="6657975"/>
          <a:ext cx="200025" cy="238125"/>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44</xdr:row>
      <xdr:rowOff>38100</xdr:rowOff>
    </xdr:from>
    <xdr:to>
      <xdr:col>0</xdr:col>
      <xdr:colOff>285750</xdr:colOff>
      <xdr:row>45</xdr:row>
      <xdr:rowOff>38100</xdr:rowOff>
    </xdr:to>
    <xdr:sp macro="[0]!LANDBODEM_VERBERG_ONDERDEEL">
      <xdr:nvSpPr>
        <xdr:cNvPr id="3" name="AutoShape 106"/>
        <xdr:cNvSpPr>
          <a:spLocks noChangeAspect="1"/>
        </xdr:cNvSpPr>
      </xdr:nvSpPr>
      <xdr:spPr>
        <a:xfrm rot="10800000">
          <a:off x="95250" y="66579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46</xdr:row>
      <xdr:rowOff>19050</xdr:rowOff>
    </xdr:from>
    <xdr:to>
      <xdr:col>1</xdr:col>
      <xdr:colOff>552450</xdr:colOff>
      <xdr:row>46</xdr:row>
      <xdr:rowOff>152400</xdr:rowOff>
    </xdr:to>
    <xdr:sp macro="[0]!LANDBODEM_TOON_Ontrgaven_en_verwerken_grond_op_locatie">
      <xdr:nvSpPr>
        <xdr:cNvPr id="4" name="AutoShape 19"/>
        <xdr:cNvSpPr>
          <a:spLocks noChangeAspect="1"/>
        </xdr:cNvSpPr>
      </xdr:nvSpPr>
      <xdr:spPr>
        <a:xfrm>
          <a:off x="102870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46</xdr:row>
      <xdr:rowOff>9525</xdr:rowOff>
    </xdr:from>
    <xdr:to>
      <xdr:col>1</xdr:col>
      <xdr:colOff>419100</xdr:colOff>
      <xdr:row>46</xdr:row>
      <xdr:rowOff>142875</xdr:rowOff>
    </xdr:to>
    <xdr:sp macro="[0]!LANDBODEM_VERBERG_Ontrgaven_en_verwerken_grond_op_locatie">
      <xdr:nvSpPr>
        <xdr:cNvPr id="5" name="AutoShape 20"/>
        <xdr:cNvSpPr>
          <a:spLocks noChangeAspect="1"/>
        </xdr:cNvSpPr>
      </xdr:nvSpPr>
      <xdr:spPr>
        <a:xfrm rot="10800000">
          <a:off x="89535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77</xdr:row>
      <xdr:rowOff>19050</xdr:rowOff>
    </xdr:from>
    <xdr:to>
      <xdr:col>1</xdr:col>
      <xdr:colOff>561975</xdr:colOff>
      <xdr:row>77</xdr:row>
      <xdr:rowOff>152400</xdr:rowOff>
    </xdr:to>
    <xdr:sp macro="[0]!LANDBODEM_TOON_Toepassen_damwand">
      <xdr:nvSpPr>
        <xdr:cNvPr id="6" name="AutoShape 19"/>
        <xdr:cNvSpPr>
          <a:spLocks noChangeAspect="1"/>
        </xdr:cNvSpPr>
      </xdr:nvSpPr>
      <xdr:spPr>
        <a:xfrm>
          <a:off x="10382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77</xdr:row>
      <xdr:rowOff>9525</xdr:rowOff>
    </xdr:from>
    <xdr:to>
      <xdr:col>1</xdr:col>
      <xdr:colOff>428625</xdr:colOff>
      <xdr:row>77</xdr:row>
      <xdr:rowOff>142875</xdr:rowOff>
    </xdr:to>
    <xdr:sp macro="[0]!LANDBODEM_VERBERG_Toepassen_damwand">
      <xdr:nvSpPr>
        <xdr:cNvPr id="7" name="AutoShape 20"/>
        <xdr:cNvSpPr>
          <a:spLocks noChangeAspect="1"/>
        </xdr:cNvSpPr>
      </xdr:nvSpPr>
      <xdr:spPr>
        <a:xfrm rot="10800000">
          <a:off x="9048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495300</xdr:colOff>
      <xdr:row>15</xdr:row>
      <xdr:rowOff>0</xdr:rowOff>
    </xdr:from>
    <xdr:to>
      <xdr:col>15</xdr:col>
      <xdr:colOff>523875</xdr:colOff>
      <xdr:row>37</xdr:row>
      <xdr:rowOff>47625</xdr:rowOff>
    </xdr:to>
    <xdr:sp>
      <xdr:nvSpPr>
        <xdr:cNvPr id="8" name="Text Box 15"/>
        <xdr:cNvSpPr txBox="1">
          <a:spLocks noChangeArrowheads="1"/>
        </xdr:cNvSpPr>
      </xdr:nvSpPr>
      <xdr:spPr>
        <a:xfrm>
          <a:off x="5657850" y="2609850"/>
          <a:ext cx="4295775" cy="3076575"/>
        </a:xfrm>
        <a:prstGeom prst="rect">
          <a:avLst/>
        </a:prstGeom>
        <a:solidFill>
          <a:srgbClr val="008080">
            <a:alpha val="35000"/>
          </a:srgbClr>
        </a:solidFill>
        <a:ln w="38100" cmpd="dbl">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&lt;&lt; Type hier &gt;&gt;</a:t>
          </a:r>
        </a:p>
      </xdr:txBody>
    </xdr:sp>
    <xdr:clientData fLocksWithSheet="0"/>
  </xdr:twoCellAnchor>
  <xdr:twoCellAnchor>
    <xdr:from>
      <xdr:col>8</xdr:col>
      <xdr:colOff>504825</xdr:colOff>
      <xdr:row>13</xdr:row>
      <xdr:rowOff>104775</xdr:rowOff>
    </xdr:from>
    <xdr:to>
      <xdr:col>12</xdr:col>
      <xdr:colOff>457200</xdr:colOff>
      <xdr:row>14</xdr:row>
      <xdr:rowOff>133350</xdr:rowOff>
    </xdr:to>
    <xdr:sp>
      <xdr:nvSpPr>
        <xdr:cNvPr id="9" name="Text Box 17"/>
        <xdr:cNvSpPr txBox="1">
          <a:spLocks noChangeArrowheads="1"/>
        </xdr:cNvSpPr>
      </xdr:nvSpPr>
      <xdr:spPr>
        <a:xfrm>
          <a:off x="5667375" y="2390775"/>
          <a:ext cx="2390775" cy="1905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8080"/>
              </a:solidFill>
              <a:latin typeface="Arial"/>
              <a:ea typeface="Arial"/>
              <a:cs typeface="Arial"/>
            </a:rPr>
            <a:t>Korte omschrijving saneringsvariant</a:t>
          </a:r>
        </a:p>
      </xdr:txBody>
    </xdr:sp>
    <xdr:clientData/>
  </xdr:twoCellAnchor>
  <xdr:twoCellAnchor>
    <xdr:from>
      <xdr:col>1</xdr:col>
      <xdr:colOff>428625</xdr:colOff>
      <xdr:row>92</xdr:row>
      <xdr:rowOff>19050</xdr:rowOff>
    </xdr:from>
    <xdr:to>
      <xdr:col>1</xdr:col>
      <xdr:colOff>561975</xdr:colOff>
      <xdr:row>92</xdr:row>
      <xdr:rowOff>152400</xdr:rowOff>
    </xdr:to>
    <xdr:sp macro="[0]!LANDBODEM_TOON_Locatie_verwerken_grondstromen">
      <xdr:nvSpPr>
        <xdr:cNvPr id="10" name="AutoShape 19"/>
        <xdr:cNvSpPr>
          <a:spLocks noChangeAspect="1"/>
        </xdr:cNvSpPr>
      </xdr:nvSpPr>
      <xdr:spPr>
        <a:xfrm>
          <a:off x="10382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92</xdr:row>
      <xdr:rowOff>9525</xdr:rowOff>
    </xdr:from>
    <xdr:to>
      <xdr:col>1</xdr:col>
      <xdr:colOff>428625</xdr:colOff>
      <xdr:row>92</xdr:row>
      <xdr:rowOff>142875</xdr:rowOff>
    </xdr:to>
    <xdr:sp macro="[0]!LANDBODEM_VERBERG_Locatie_verwerken_grondstromen">
      <xdr:nvSpPr>
        <xdr:cNvPr id="11" name="AutoShape 20"/>
        <xdr:cNvSpPr>
          <a:spLocks noChangeAspect="1"/>
        </xdr:cNvSpPr>
      </xdr:nvSpPr>
      <xdr:spPr>
        <a:xfrm rot="10800000">
          <a:off x="9048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103</xdr:row>
      <xdr:rowOff>19050</xdr:rowOff>
    </xdr:from>
    <xdr:to>
      <xdr:col>1</xdr:col>
      <xdr:colOff>581025</xdr:colOff>
      <xdr:row>103</xdr:row>
      <xdr:rowOff>152400</xdr:rowOff>
    </xdr:to>
    <xdr:sp macro="[0]!LANDBODEM_TOON_Extern_verwerken_grondstromen">
      <xdr:nvSpPr>
        <xdr:cNvPr id="12" name="AutoShape 19"/>
        <xdr:cNvSpPr>
          <a:spLocks noChangeAspect="1"/>
        </xdr:cNvSpPr>
      </xdr:nvSpPr>
      <xdr:spPr>
        <a:xfrm>
          <a:off x="10572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103</xdr:row>
      <xdr:rowOff>9525</xdr:rowOff>
    </xdr:from>
    <xdr:to>
      <xdr:col>1</xdr:col>
      <xdr:colOff>447675</xdr:colOff>
      <xdr:row>103</xdr:row>
      <xdr:rowOff>142875</xdr:rowOff>
    </xdr:to>
    <xdr:sp macro="[0]!LANDBODEM_VERBERG_Extern_verwerken_grondstromen">
      <xdr:nvSpPr>
        <xdr:cNvPr id="13" name="AutoShape 20"/>
        <xdr:cNvSpPr>
          <a:spLocks noChangeAspect="1"/>
        </xdr:cNvSpPr>
      </xdr:nvSpPr>
      <xdr:spPr>
        <a:xfrm rot="10800000">
          <a:off x="9239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130</xdr:row>
      <xdr:rowOff>19050</xdr:rowOff>
    </xdr:from>
    <xdr:to>
      <xdr:col>1</xdr:col>
      <xdr:colOff>581025</xdr:colOff>
      <xdr:row>130</xdr:row>
      <xdr:rowOff>152400</xdr:rowOff>
    </xdr:to>
    <xdr:sp macro="[0]!LANDBODEM_TOON_Overige_materialen">
      <xdr:nvSpPr>
        <xdr:cNvPr id="14" name="AutoShape 19"/>
        <xdr:cNvSpPr>
          <a:spLocks noChangeAspect="1"/>
        </xdr:cNvSpPr>
      </xdr:nvSpPr>
      <xdr:spPr>
        <a:xfrm>
          <a:off x="10572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130</xdr:row>
      <xdr:rowOff>9525</xdr:rowOff>
    </xdr:from>
    <xdr:to>
      <xdr:col>1</xdr:col>
      <xdr:colOff>447675</xdr:colOff>
      <xdr:row>130</xdr:row>
      <xdr:rowOff>142875</xdr:rowOff>
    </xdr:to>
    <xdr:sp macro="[0]!LANDBODEM_VERBERG_Overige_materialen">
      <xdr:nvSpPr>
        <xdr:cNvPr id="15" name="AutoShape 20"/>
        <xdr:cNvSpPr>
          <a:spLocks noChangeAspect="1"/>
        </xdr:cNvSpPr>
      </xdr:nvSpPr>
      <xdr:spPr>
        <a:xfrm rot="10800000">
          <a:off x="9239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140</xdr:row>
      <xdr:rowOff>28575</xdr:rowOff>
    </xdr:from>
    <xdr:to>
      <xdr:col>1</xdr:col>
      <xdr:colOff>590550</xdr:colOff>
      <xdr:row>141</xdr:row>
      <xdr:rowOff>0</xdr:rowOff>
    </xdr:to>
    <xdr:sp macro="[0]!LANDBODEM_TOON_Transport_grondstromen">
      <xdr:nvSpPr>
        <xdr:cNvPr id="16" name="AutoShape 19"/>
        <xdr:cNvSpPr>
          <a:spLocks noChangeAspect="1"/>
        </xdr:cNvSpPr>
      </xdr:nvSpPr>
      <xdr:spPr>
        <a:xfrm>
          <a:off x="106680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140</xdr:row>
      <xdr:rowOff>9525</xdr:rowOff>
    </xdr:from>
    <xdr:to>
      <xdr:col>1</xdr:col>
      <xdr:colOff>457200</xdr:colOff>
      <xdr:row>140</xdr:row>
      <xdr:rowOff>142875</xdr:rowOff>
    </xdr:to>
    <xdr:sp macro="[0]!LANDBODEM_VERBERG_Transport_grondstromen">
      <xdr:nvSpPr>
        <xdr:cNvPr id="17" name="AutoShape 20"/>
        <xdr:cNvSpPr>
          <a:spLocks noChangeAspect="1"/>
        </xdr:cNvSpPr>
      </xdr:nvSpPr>
      <xdr:spPr>
        <a:xfrm rot="10800000">
          <a:off x="93345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183</xdr:row>
      <xdr:rowOff>19050</xdr:rowOff>
    </xdr:from>
    <xdr:to>
      <xdr:col>1</xdr:col>
      <xdr:colOff>590550</xdr:colOff>
      <xdr:row>183</xdr:row>
      <xdr:rowOff>152400</xdr:rowOff>
    </xdr:to>
    <xdr:sp macro="[0]!LANDBODEM_TOON_Transport_materialen">
      <xdr:nvSpPr>
        <xdr:cNvPr id="18" name="AutoShape 19"/>
        <xdr:cNvSpPr>
          <a:spLocks noChangeAspect="1"/>
        </xdr:cNvSpPr>
      </xdr:nvSpPr>
      <xdr:spPr>
        <a:xfrm>
          <a:off x="106680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183</xdr:row>
      <xdr:rowOff>9525</xdr:rowOff>
    </xdr:from>
    <xdr:to>
      <xdr:col>1</xdr:col>
      <xdr:colOff>466725</xdr:colOff>
      <xdr:row>183</xdr:row>
      <xdr:rowOff>142875</xdr:rowOff>
    </xdr:to>
    <xdr:sp macro="[0]!LANDBODEM_VERBERG_Transport_materialen">
      <xdr:nvSpPr>
        <xdr:cNvPr id="19" name="AutoShape 20"/>
        <xdr:cNvSpPr>
          <a:spLocks noChangeAspect="1"/>
        </xdr:cNvSpPr>
      </xdr:nvSpPr>
      <xdr:spPr>
        <a:xfrm rot="10800000">
          <a:off x="9429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203</xdr:row>
      <xdr:rowOff>66675</xdr:rowOff>
    </xdr:from>
    <xdr:to>
      <xdr:col>0</xdr:col>
      <xdr:colOff>476250</xdr:colOff>
      <xdr:row>204</xdr:row>
      <xdr:rowOff>66675</xdr:rowOff>
    </xdr:to>
    <xdr:sp macro="[0]!ONTTREKKEN_TOON_ONDERDEEL">
      <xdr:nvSpPr>
        <xdr:cNvPr id="20" name="AutoShape 105"/>
        <xdr:cNvSpPr>
          <a:spLocks noChangeAspect="1"/>
        </xdr:cNvSpPr>
      </xdr:nvSpPr>
      <xdr:spPr>
        <a:xfrm>
          <a:off x="285750" y="72390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203</xdr:row>
      <xdr:rowOff>57150</xdr:rowOff>
    </xdr:from>
    <xdr:to>
      <xdr:col>0</xdr:col>
      <xdr:colOff>304800</xdr:colOff>
      <xdr:row>204</xdr:row>
      <xdr:rowOff>57150</xdr:rowOff>
    </xdr:to>
    <xdr:sp macro="[0]!ONTTREKKEN_VERBERG_ONDERDEEL">
      <xdr:nvSpPr>
        <xdr:cNvPr id="21" name="AutoShape 106"/>
        <xdr:cNvSpPr>
          <a:spLocks noChangeAspect="1"/>
        </xdr:cNvSpPr>
      </xdr:nvSpPr>
      <xdr:spPr>
        <a:xfrm rot="10800000">
          <a:off x="114300" y="72294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205</xdr:row>
      <xdr:rowOff>19050</xdr:rowOff>
    </xdr:from>
    <xdr:to>
      <xdr:col>1</xdr:col>
      <xdr:colOff>590550</xdr:colOff>
      <xdr:row>205</xdr:row>
      <xdr:rowOff>152400</xdr:rowOff>
    </xdr:to>
    <xdr:sp macro="[0]!ONTTREKKEN_TOON_Plaatsen_filters">
      <xdr:nvSpPr>
        <xdr:cNvPr id="22" name="AutoShape 19"/>
        <xdr:cNvSpPr>
          <a:spLocks noChangeAspect="1"/>
        </xdr:cNvSpPr>
      </xdr:nvSpPr>
      <xdr:spPr>
        <a:xfrm>
          <a:off x="1066800"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205</xdr:row>
      <xdr:rowOff>9525</xdr:rowOff>
    </xdr:from>
    <xdr:to>
      <xdr:col>1</xdr:col>
      <xdr:colOff>466725</xdr:colOff>
      <xdr:row>205</xdr:row>
      <xdr:rowOff>142875</xdr:rowOff>
    </xdr:to>
    <xdr:sp macro="[0]!ONTTREKKEN_VERBERG_Plaatsen_filters">
      <xdr:nvSpPr>
        <xdr:cNvPr id="23" name="AutoShape 20"/>
        <xdr:cNvSpPr>
          <a:spLocks noChangeAspect="1"/>
        </xdr:cNvSpPr>
      </xdr:nvSpPr>
      <xdr:spPr>
        <a:xfrm rot="10800000">
          <a:off x="942975"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232</xdr:row>
      <xdr:rowOff>19050</xdr:rowOff>
    </xdr:from>
    <xdr:to>
      <xdr:col>1</xdr:col>
      <xdr:colOff>590550</xdr:colOff>
      <xdr:row>232</xdr:row>
      <xdr:rowOff>152400</xdr:rowOff>
    </xdr:to>
    <xdr:sp macro="[0]!ONTTREKKEN_TOON_Onttrekken">
      <xdr:nvSpPr>
        <xdr:cNvPr id="24" name="AutoShape 19"/>
        <xdr:cNvSpPr>
          <a:spLocks noChangeAspect="1"/>
        </xdr:cNvSpPr>
      </xdr:nvSpPr>
      <xdr:spPr>
        <a:xfrm>
          <a:off x="1066800"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232</xdr:row>
      <xdr:rowOff>9525</xdr:rowOff>
    </xdr:from>
    <xdr:to>
      <xdr:col>1</xdr:col>
      <xdr:colOff>466725</xdr:colOff>
      <xdr:row>232</xdr:row>
      <xdr:rowOff>142875</xdr:rowOff>
    </xdr:to>
    <xdr:sp macro="[0]!ONTTREKKEN_VERBERG_Onttrekken">
      <xdr:nvSpPr>
        <xdr:cNvPr id="25" name="AutoShape 20"/>
        <xdr:cNvSpPr>
          <a:spLocks noChangeAspect="1"/>
        </xdr:cNvSpPr>
      </xdr:nvSpPr>
      <xdr:spPr>
        <a:xfrm rot="10800000">
          <a:off x="942975"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251</xdr:row>
      <xdr:rowOff>19050</xdr:rowOff>
    </xdr:from>
    <xdr:to>
      <xdr:col>1</xdr:col>
      <xdr:colOff>590550</xdr:colOff>
      <xdr:row>251</xdr:row>
      <xdr:rowOff>152400</xdr:rowOff>
    </xdr:to>
    <xdr:sp macro="[0]!ONTTREKKEN_TOON_Transport_materialen">
      <xdr:nvSpPr>
        <xdr:cNvPr id="26" name="AutoShape 19"/>
        <xdr:cNvSpPr>
          <a:spLocks noChangeAspect="1"/>
        </xdr:cNvSpPr>
      </xdr:nvSpPr>
      <xdr:spPr>
        <a:xfrm>
          <a:off x="1066800"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251</xdr:row>
      <xdr:rowOff>9525</xdr:rowOff>
    </xdr:from>
    <xdr:to>
      <xdr:col>1</xdr:col>
      <xdr:colOff>466725</xdr:colOff>
      <xdr:row>251</xdr:row>
      <xdr:rowOff>142875</xdr:rowOff>
    </xdr:to>
    <xdr:sp macro="[0]!ONTTREKKEN_VERBERG_Transport_materialen">
      <xdr:nvSpPr>
        <xdr:cNvPr id="27" name="AutoShape 20"/>
        <xdr:cNvSpPr>
          <a:spLocks noChangeAspect="1"/>
        </xdr:cNvSpPr>
      </xdr:nvSpPr>
      <xdr:spPr>
        <a:xfrm rot="10800000">
          <a:off x="942975"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271</xdr:row>
      <xdr:rowOff>57150</xdr:rowOff>
    </xdr:from>
    <xdr:to>
      <xdr:col>0</xdr:col>
      <xdr:colOff>495300</xdr:colOff>
      <xdr:row>272</xdr:row>
      <xdr:rowOff>57150</xdr:rowOff>
    </xdr:to>
    <xdr:sp macro="[0]!ZUIVEREN_TOON_ONDERDEEL">
      <xdr:nvSpPr>
        <xdr:cNvPr id="28" name="AutoShape 105"/>
        <xdr:cNvSpPr>
          <a:spLocks noChangeAspect="1"/>
        </xdr:cNvSpPr>
      </xdr:nvSpPr>
      <xdr:spPr>
        <a:xfrm>
          <a:off x="304800" y="778192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271</xdr:row>
      <xdr:rowOff>57150</xdr:rowOff>
    </xdr:from>
    <xdr:to>
      <xdr:col>0</xdr:col>
      <xdr:colOff>333375</xdr:colOff>
      <xdr:row>272</xdr:row>
      <xdr:rowOff>57150</xdr:rowOff>
    </xdr:to>
    <xdr:sp macro="[0]!ZUIVEREN_VERBERG_ONDERDEEL">
      <xdr:nvSpPr>
        <xdr:cNvPr id="29" name="AutoShape 106"/>
        <xdr:cNvSpPr>
          <a:spLocks noChangeAspect="1"/>
        </xdr:cNvSpPr>
      </xdr:nvSpPr>
      <xdr:spPr>
        <a:xfrm rot="10800000">
          <a:off x="142875" y="778192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273</xdr:row>
      <xdr:rowOff>19050</xdr:rowOff>
    </xdr:from>
    <xdr:to>
      <xdr:col>1</xdr:col>
      <xdr:colOff>590550</xdr:colOff>
      <xdr:row>273</xdr:row>
      <xdr:rowOff>152400</xdr:rowOff>
    </xdr:to>
    <xdr:sp macro="[0]!ZUIVEREN_TOON_Zuiveringsonderdeel">
      <xdr:nvSpPr>
        <xdr:cNvPr id="30" name="AutoShape 19"/>
        <xdr:cNvSpPr>
          <a:spLocks noChangeAspect="1"/>
        </xdr:cNvSpPr>
      </xdr:nvSpPr>
      <xdr:spPr>
        <a:xfrm>
          <a:off x="10668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273</xdr:row>
      <xdr:rowOff>9525</xdr:rowOff>
    </xdr:from>
    <xdr:to>
      <xdr:col>1</xdr:col>
      <xdr:colOff>476250</xdr:colOff>
      <xdr:row>273</xdr:row>
      <xdr:rowOff>142875</xdr:rowOff>
    </xdr:to>
    <xdr:sp macro="[0]!ZUIVEREN_VERBERG_Zuiveringsonderdeel">
      <xdr:nvSpPr>
        <xdr:cNvPr id="31" name="AutoShape 20"/>
        <xdr:cNvSpPr>
          <a:spLocks noChangeAspect="1"/>
        </xdr:cNvSpPr>
      </xdr:nvSpPr>
      <xdr:spPr>
        <a:xfrm rot="10800000">
          <a:off x="9525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320</xdr:row>
      <xdr:rowOff>19050</xdr:rowOff>
    </xdr:from>
    <xdr:to>
      <xdr:col>1</xdr:col>
      <xdr:colOff>590550</xdr:colOff>
      <xdr:row>320</xdr:row>
      <xdr:rowOff>152400</xdr:rowOff>
    </xdr:to>
    <xdr:sp macro="[0]!ZUIVEREN_TOON_Hulpstoffen">
      <xdr:nvSpPr>
        <xdr:cNvPr id="32" name="AutoShape 19"/>
        <xdr:cNvSpPr>
          <a:spLocks noChangeAspect="1"/>
        </xdr:cNvSpPr>
      </xdr:nvSpPr>
      <xdr:spPr>
        <a:xfrm>
          <a:off x="10668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320</xdr:row>
      <xdr:rowOff>9525</xdr:rowOff>
    </xdr:from>
    <xdr:to>
      <xdr:col>1</xdr:col>
      <xdr:colOff>476250</xdr:colOff>
      <xdr:row>320</xdr:row>
      <xdr:rowOff>142875</xdr:rowOff>
    </xdr:to>
    <xdr:sp macro="[0]!ZUIVEREN_VERBERG_Hulpstoffen">
      <xdr:nvSpPr>
        <xdr:cNvPr id="33" name="AutoShape 20"/>
        <xdr:cNvSpPr>
          <a:spLocks noChangeAspect="1"/>
        </xdr:cNvSpPr>
      </xdr:nvSpPr>
      <xdr:spPr>
        <a:xfrm rot="10800000">
          <a:off x="9525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339</xdr:row>
      <xdr:rowOff>19050</xdr:rowOff>
    </xdr:from>
    <xdr:to>
      <xdr:col>1</xdr:col>
      <xdr:colOff>590550</xdr:colOff>
      <xdr:row>339</xdr:row>
      <xdr:rowOff>152400</xdr:rowOff>
    </xdr:to>
    <xdr:sp macro="[0]!ZUIVEREN_TOON_Afvalstoffen">
      <xdr:nvSpPr>
        <xdr:cNvPr id="34" name="AutoShape 19"/>
        <xdr:cNvSpPr>
          <a:spLocks noChangeAspect="1"/>
        </xdr:cNvSpPr>
      </xdr:nvSpPr>
      <xdr:spPr>
        <a:xfrm>
          <a:off x="10668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339</xdr:row>
      <xdr:rowOff>9525</xdr:rowOff>
    </xdr:from>
    <xdr:to>
      <xdr:col>1</xdr:col>
      <xdr:colOff>476250</xdr:colOff>
      <xdr:row>339</xdr:row>
      <xdr:rowOff>142875</xdr:rowOff>
    </xdr:to>
    <xdr:sp macro="[0]!ZUIVEREN_VERBERG_Afvalstoffen">
      <xdr:nvSpPr>
        <xdr:cNvPr id="35" name="AutoShape 20"/>
        <xdr:cNvSpPr>
          <a:spLocks noChangeAspect="1"/>
        </xdr:cNvSpPr>
      </xdr:nvSpPr>
      <xdr:spPr>
        <a:xfrm rot="10800000">
          <a:off x="9525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348</xdr:row>
      <xdr:rowOff>19050</xdr:rowOff>
    </xdr:from>
    <xdr:to>
      <xdr:col>1</xdr:col>
      <xdr:colOff>600075</xdr:colOff>
      <xdr:row>348</xdr:row>
      <xdr:rowOff>152400</xdr:rowOff>
    </xdr:to>
    <xdr:sp macro="[0]!ZUIVEREN_TOON_Transport_materialen">
      <xdr:nvSpPr>
        <xdr:cNvPr id="36" name="AutoShape 19"/>
        <xdr:cNvSpPr>
          <a:spLocks noChangeAspect="1"/>
        </xdr:cNvSpPr>
      </xdr:nvSpPr>
      <xdr:spPr>
        <a:xfrm>
          <a:off x="1076325"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348</xdr:row>
      <xdr:rowOff>9525</xdr:rowOff>
    </xdr:from>
    <xdr:to>
      <xdr:col>1</xdr:col>
      <xdr:colOff>485775</xdr:colOff>
      <xdr:row>348</xdr:row>
      <xdr:rowOff>142875</xdr:rowOff>
    </xdr:to>
    <xdr:sp macro="[0]!ZUIVEREN_VERBERG_Transport_materialen">
      <xdr:nvSpPr>
        <xdr:cNvPr id="37" name="AutoShape 20"/>
        <xdr:cNvSpPr>
          <a:spLocks noChangeAspect="1"/>
        </xdr:cNvSpPr>
      </xdr:nvSpPr>
      <xdr:spPr>
        <a:xfrm rot="10800000">
          <a:off x="962025"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368</xdr:row>
      <xdr:rowOff>66675</xdr:rowOff>
    </xdr:from>
    <xdr:to>
      <xdr:col>0</xdr:col>
      <xdr:colOff>523875</xdr:colOff>
      <xdr:row>369</xdr:row>
      <xdr:rowOff>28575</xdr:rowOff>
    </xdr:to>
    <xdr:sp macro="[0]!PLI_TOON_ONDERDEEL">
      <xdr:nvSpPr>
        <xdr:cNvPr id="38" name="AutoShape 105"/>
        <xdr:cNvSpPr>
          <a:spLocks noChangeAspect="1"/>
        </xdr:cNvSpPr>
      </xdr:nvSpPr>
      <xdr:spPr>
        <a:xfrm>
          <a:off x="333375" y="83439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368</xdr:row>
      <xdr:rowOff>57150</xdr:rowOff>
    </xdr:from>
    <xdr:to>
      <xdr:col>0</xdr:col>
      <xdr:colOff>361950</xdr:colOff>
      <xdr:row>369</xdr:row>
      <xdr:rowOff>19050</xdr:rowOff>
    </xdr:to>
    <xdr:sp macro="[0]!PLI_VERBERG_ONDERDEEL">
      <xdr:nvSpPr>
        <xdr:cNvPr id="39" name="AutoShape 106"/>
        <xdr:cNvSpPr>
          <a:spLocks noChangeAspect="1"/>
        </xdr:cNvSpPr>
      </xdr:nvSpPr>
      <xdr:spPr>
        <a:xfrm rot="10800000">
          <a:off x="171450" y="83343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370</xdr:row>
      <xdr:rowOff>19050</xdr:rowOff>
    </xdr:from>
    <xdr:to>
      <xdr:col>1</xdr:col>
      <xdr:colOff>590550</xdr:colOff>
      <xdr:row>370</xdr:row>
      <xdr:rowOff>152400</xdr:rowOff>
    </xdr:to>
    <xdr:sp macro="[0]!PLI_TOON_Aanleg_PLI_systeem">
      <xdr:nvSpPr>
        <xdr:cNvPr id="40" name="AutoShape 19"/>
        <xdr:cNvSpPr>
          <a:spLocks noChangeAspect="1"/>
        </xdr:cNvSpPr>
      </xdr:nvSpPr>
      <xdr:spPr>
        <a:xfrm>
          <a:off x="10668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370</xdr:row>
      <xdr:rowOff>9525</xdr:rowOff>
    </xdr:from>
    <xdr:to>
      <xdr:col>1</xdr:col>
      <xdr:colOff>476250</xdr:colOff>
      <xdr:row>370</xdr:row>
      <xdr:rowOff>142875</xdr:rowOff>
    </xdr:to>
    <xdr:sp macro="[0]!PLI_VERBERG_Aanleg_PLI_systeem">
      <xdr:nvSpPr>
        <xdr:cNvPr id="41" name="AutoShape 20"/>
        <xdr:cNvSpPr>
          <a:spLocks noChangeAspect="1"/>
        </xdr:cNvSpPr>
      </xdr:nvSpPr>
      <xdr:spPr>
        <a:xfrm rot="10800000">
          <a:off x="9525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405</xdr:row>
      <xdr:rowOff>19050</xdr:rowOff>
    </xdr:from>
    <xdr:to>
      <xdr:col>1</xdr:col>
      <xdr:colOff>590550</xdr:colOff>
      <xdr:row>405</xdr:row>
      <xdr:rowOff>152400</xdr:rowOff>
    </xdr:to>
    <xdr:sp macro="[0]!PLI_TOON_Instandhouden_PLI_systeem">
      <xdr:nvSpPr>
        <xdr:cNvPr id="42" name="AutoShape 19"/>
        <xdr:cNvSpPr>
          <a:spLocks noChangeAspect="1"/>
        </xdr:cNvSpPr>
      </xdr:nvSpPr>
      <xdr:spPr>
        <a:xfrm>
          <a:off x="10668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405</xdr:row>
      <xdr:rowOff>9525</xdr:rowOff>
    </xdr:from>
    <xdr:to>
      <xdr:col>1</xdr:col>
      <xdr:colOff>476250</xdr:colOff>
      <xdr:row>405</xdr:row>
      <xdr:rowOff>142875</xdr:rowOff>
    </xdr:to>
    <xdr:sp macro="[0]!PLI_VERBERG_Instandhouden_PLI_systeem">
      <xdr:nvSpPr>
        <xdr:cNvPr id="43" name="AutoShape 20"/>
        <xdr:cNvSpPr>
          <a:spLocks noChangeAspect="1"/>
        </xdr:cNvSpPr>
      </xdr:nvSpPr>
      <xdr:spPr>
        <a:xfrm rot="10800000">
          <a:off x="9525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414</xdr:row>
      <xdr:rowOff>19050</xdr:rowOff>
    </xdr:from>
    <xdr:to>
      <xdr:col>1</xdr:col>
      <xdr:colOff>600075</xdr:colOff>
      <xdr:row>414</xdr:row>
      <xdr:rowOff>152400</xdr:rowOff>
    </xdr:to>
    <xdr:sp macro="[0]!PLI_TOON_Oxidatiereactie_PLI">
      <xdr:nvSpPr>
        <xdr:cNvPr id="44" name="AutoShape 19"/>
        <xdr:cNvSpPr>
          <a:spLocks noChangeAspect="1"/>
        </xdr:cNvSpPr>
      </xdr:nvSpPr>
      <xdr:spPr>
        <a:xfrm>
          <a:off x="1076325"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414</xdr:row>
      <xdr:rowOff>9525</xdr:rowOff>
    </xdr:from>
    <xdr:to>
      <xdr:col>1</xdr:col>
      <xdr:colOff>485775</xdr:colOff>
      <xdr:row>414</xdr:row>
      <xdr:rowOff>142875</xdr:rowOff>
    </xdr:to>
    <xdr:sp macro="[0]!PLI_VERBERG_Oxidatiereactie_PLI">
      <xdr:nvSpPr>
        <xdr:cNvPr id="45" name="AutoShape 20"/>
        <xdr:cNvSpPr>
          <a:spLocks noChangeAspect="1"/>
        </xdr:cNvSpPr>
      </xdr:nvSpPr>
      <xdr:spPr>
        <a:xfrm rot="10800000">
          <a:off x="962025"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423</xdr:row>
      <xdr:rowOff>19050</xdr:rowOff>
    </xdr:from>
    <xdr:to>
      <xdr:col>2</xdr:col>
      <xdr:colOff>0</xdr:colOff>
      <xdr:row>423</xdr:row>
      <xdr:rowOff>152400</xdr:rowOff>
    </xdr:to>
    <xdr:sp macro="[0]!PLI_TOON_Aanleg_BLE_systeem">
      <xdr:nvSpPr>
        <xdr:cNvPr id="46" name="AutoShape 19"/>
        <xdr:cNvSpPr>
          <a:spLocks noChangeAspect="1"/>
        </xdr:cNvSpPr>
      </xdr:nvSpPr>
      <xdr:spPr>
        <a:xfrm>
          <a:off x="10858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423</xdr:row>
      <xdr:rowOff>9525</xdr:rowOff>
    </xdr:from>
    <xdr:to>
      <xdr:col>1</xdr:col>
      <xdr:colOff>495300</xdr:colOff>
      <xdr:row>423</xdr:row>
      <xdr:rowOff>142875</xdr:rowOff>
    </xdr:to>
    <xdr:sp macro="[0]!PLI_VERBERG_Aanleg_BLE_systeem">
      <xdr:nvSpPr>
        <xdr:cNvPr id="47" name="AutoShape 20"/>
        <xdr:cNvSpPr>
          <a:spLocks noChangeAspect="1"/>
        </xdr:cNvSpPr>
      </xdr:nvSpPr>
      <xdr:spPr>
        <a:xfrm rot="10800000">
          <a:off x="9715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450</xdr:row>
      <xdr:rowOff>19050</xdr:rowOff>
    </xdr:from>
    <xdr:to>
      <xdr:col>2</xdr:col>
      <xdr:colOff>0</xdr:colOff>
      <xdr:row>450</xdr:row>
      <xdr:rowOff>152400</xdr:rowOff>
    </xdr:to>
    <xdr:sp macro="[0]!PLI_TOON_Instandhouden_BLE_systeem">
      <xdr:nvSpPr>
        <xdr:cNvPr id="48" name="AutoShape 19"/>
        <xdr:cNvSpPr>
          <a:spLocks noChangeAspect="1"/>
        </xdr:cNvSpPr>
      </xdr:nvSpPr>
      <xdr:spPr>
        <a:xfrm>
          <a:off x="10858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450</xdr:row>
      <xdr:rowOff>9525</xdr:rowOff>
    </xdr:from>
    <xdr:to>
      <xdr:col>1</xdr:col>
      <xdr:colOff>495300</xdr:colOff>
      <xdr:row>450</xdr:row>
      <xdr:rowOff>142875</xdr:rowOff>
    </xdr:to>
    <xdr:sp macro="[0]!PLI_VERBERG_Instandhouden_BLE_systeem">
      <xdr:nvSpPr>
        <xdr:cNvPr id="49" name="AutoShape 20"/>
        <xdr:cNvSpPr>
          <a:spLocks noChangeAspect="1"/>
        </xdr:cNvSpPr>
      </xdr:nvSpPr>
      <xdr:spPr>
        <a:xfrm rot="10800000">
          <a:off x="9715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469</xdr:row>
      <xdr:rowOff>19050</xdr:rowOff>
    </xdr:from>
    <xdr:to>
      <xdr:col>2</xdr:col>
      <xdr:colOff>0</xdr:colOff>
      <xdr:row>469</xdr:row>
      <xdr:rowOff>152400</xdr:rowOff>
    </xdr:to>
    <xdr:sp macro="[0]!PLI_TOON_Transport_materialen">
      <xdr:nvSpPr>
        <xdr:cNvPr id="50" name="AutoShape 19"/>
        <xdr:cNvSpPr>
          <a:spLocks noChangeAspect="1"/>
        </xdr:cNvSpPr>
      </xdr:nvSpPr>
      <xdr:spPr>
        <a:xfrm>
          <a:off x="10858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469</xdr:row>
      <xdr:rowOff>9525</xdr:rowOff>
    </xdr:from>
    <xdr:to>
      <xdr:col>1</xdr:col>
      <xdr:colOff>495300</xdr:colOff>
      <xdr:row>469</xdr:row>
      <xdr:rowOff>142875</xdr:rowOff>
    </xdr:to>
    <xdr:sp macro="[0]!PLI_VERBERG_Transport_materialen">
      <xdr:nvSpPr>
        <xdr:cNvPr id="51" name="AutoShape 20"/>
        <xdr:cNvSpPr>
          <a:spLocks noChangeAspect="1"/>
        </xdr:cNvSpPr>
      </xdr:nvSpPr>
      <xdr:spPr>
        <a:xfrm rot="10800000">
          <a:off x="9715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489</xdr:row>
      <xdr:rowOff>66675</xdr:rowOff>
    </xdr:from>
    <xdr:to>
      <xdr:col>0</xdr:col>
      <xdr:colOff>542925</xdr:colOff>
      <xdr:row>490</xdr:row>
      <xdr:rowOff>66675</xdr:rowOff>
    </xdr:to>
    <xdr:sp macro="[0]!MFE_TOON_ONDERDEEL">
      <xdr:nvSpPr>
        <xdr:cNvPr id="52" name="AutoShape 105"/>
        <xdr:cNvSpPr>
          <a:spLocks noChangeAspect="1"/>
        </xdr:cNvSpPr>
      </xdr:nvSpPr>
      <xdr:spPr>
        <a:xfrm>
          <a:off x="352425" y="89344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489</xdr:row>
      <xdr:rowOff>57150</xdr:rowOff>
    </xdr:from>
    <xdr:to>
      <xdr:col>0</xdr:col>
      <xdr:colOff>381000</xdr:colOff>
      <xdr:row>490</xdr:row>
      <xdr:rowOff>57150</xdr:rowOff>
    </xdr:to>
    <xdr:sp macro="[0]!MFE_VERBERG_ONDERDEEL">
      <xdr:nvSpPr>
        <xdr:cNvPr id="53" name="AutoShape 106"/>
        <xdr:cNvSpPr>
          <a:spLocks noChangeAspect="1"/>
        </xdr:cNvSpPr>
      </xdr:nvSpPr>
      <xdr:spPr>
        <a:xfrm rot="10800000">
          <a:off x="190500" y="892492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491</xdr:row>
      <xdr:rowOff>19050</xdr:rowOff>
    </xdr:from>
    <xdr:to>
      <xdr:col>2</xdr:col>
      <xdr:colOff>0</xdr:colOff>
      <xdr:row>491</xdr:row>
      <xdr:rowOff>152400</xdr:rowOff>
    </xdr:to>
    <xdr:sp macro="[0]!MFE_TOON_Aanleg_systeem">
      <xdr:nvSpPr>
        <xdr:cNvPr id="54" name="AutoShape 19"/>
        <xdr:cNvSpPr>
          <a:spLocks noChangeAspect="1"/>
        </xdr:cNvSpPr>
      </xdr:nvSpPr>
      <xdr:spPr>
        <a:xfrm>
          <a:off x="10858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491</xdr:row>
      <xdr:rowOff>9525</xdr:rowOff>
    </xdr:from>
    <xdr:to>
      <xdr:col>1</xdr:col>
      <xdr:colOff>495300</xdr:colOff>
      <xdr:row>491</xdr:row>
      <xdr:rowOff>142875</xdr:rowOff>
    </xdr:to>
    <xdr:sp macro="[0]!MFE_VERBERG_Aanleg_systeem">
      <xdr:nvSpPr>
        <xdr:cNvPr id="55" name="AutoShape 20"/>
        <xdr:cNvSpPr>
          <a:spLocks noChangeAspect="1"/>
        </xdr:cNvSpPr>
      </xdr:nvSpPr>
      <xdr:spPr>
        <a:xfrm rot="10800000">
          <a:off x="9715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518</xdr:row>
      <xdr:rowOff>19050</xdr:rowOff>
    </xdr:from>
    <xdr:to>
      <xdr:col>2</xdr:col>
      <xdr:colOff>0</xdr:colOff>
      <xdr:row>518</xdr:row>
      <xdr:rowOff>152400</xdr:rowOff>
    </xdr:to>
    <xdr:sp macro="[0]!MFE_TOON_Instandhouden_systeem">
      <xdr:nvSpPr>
        <xdr:cNvPr id="56" name="AutoShape 19"/>
        <xdr:cNvSpPr>
          <a:spLocks noChangeAspect="1"/>
        </xdr:cNvSpPr>
      </xdr:nvSpPr>
      <xdr:spPr>
        <a:xfrm>
          <a:off x="10858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518</xdr:row>
      <xdr:rowOff>9525</xdr:rowOff>
    </xdr:from>
    <xdr:to>
      <xdr:col>1</xdr:col>
      <xdr:colOff>495300</xdr:colOff>
      <xdr:row>518</xdr:row>
      <xdr:rowOff>142875</xdr:rowOff>
    </xdr:to>
    <xdr:sp macro="[0]!MFE_VERBERG_Instandhouden_systeem">
      <xdr:nvSpPr>
        <xdr:cNvPr id="57" name="AutoShape 20"/>
        <xdr:cNvSpPr>
          <a:spLocks noChangeAspect="1"/>
        </xdr:cNvSpPr>
      </xdr:nvSpPr>
      <xdr:spPr>
        <a:xfrm rot="10800000">
          <a:off x="9715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541</xdr:row>
      <xdr:rowOff>19050</xdr:rowOff>
    </xdr:from>
    <xdr:to>
      <xdr:col>1</xdr:col>
      <xdr:colOff>600075</xdr:colOff>
      <xdr:row>541</xdr:row>
      <xdr:rowOff>152400</xdr:rowOff>
    </xdr:to>
    <xdr:sp macro="[0]!MFE_TOON_Transport_materialen">
      <xdr:nvSpPr>
        <xdr:cNvPr id="58" name="AutoShape 19"/>
        <xdr:cNvSpPr>
          <a:spLocks noChangeAspect="1"/>
        </xdr:cNvSpPr>
      </xdr:nvSpPr>
      <xdr:spPr>
        <a:xfrm>
          <a:off x="1076325"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541</xdr:row>
      <xdr:rowOff>9525</xdr:rowOff>
    </xdr:from>
    <xdr:to>
      <xdr:col>1</xdr:col>
      <xdr:colOff>485775</xdr:colOff>
      <xdr:row>541</xdr:row>
      <xdr:rowOff>142875</xdr:rowOff>
    </xdr:to>
    <xdr:sp macro="[0]!MFE_VERBERG_Transport_materialen">
      <xdr:nvSpPr>
        <xdr:cNvPr id="59" name="AutoShape 20"/>
        <xdr:cNvSpPr>
          <a:spLocks noChangeAspect="1"/>
        </xdr:cNvSpPr>
      </xdr:nvSpPr>
      <xdr:spPr>
        <a:xfrm rot="10800000">
          <a:off x="962025"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371475</xdr:colOff>
      <xdr:row>561</xdr:row>
      <xdr:rowOff>19050</xdr:rowOff>
    </xdr:from>
    <xdr:to>
      <xdr:col>0</xdr:col>
      <xdr:colOff>561975</xdr:colOff>
      <xdr:row>562</xdr:row>
      <xdr:rowOff>19050</xdr:rowOff>
    </xdr:to>
    <xdr:sp macro="[0]!ISCO_TOON_ONDERDEEL">
      <xdr:nvSpPr>
        <xdr:cNvPr id="60" name="AutoShape 105"/>
        <xdr:cNvSpPr>
          <a:spLocks noChangeAspect="1"/>
        </xdr:cNvSpPr>
      </xdr:nvSpPr>
      <xdr:spPr>
        <a:xfrm>
          <a:off x="371475" y="94392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561</xdr:row>
      <xdr:rowOff>19050</xdr:rowOff>
    </xdr:from>
    <xdr:to>
      <xdr:col>0</xdr:col>
      <xdr:colOff>400050</xdr:colOff>
      <xdr:row>562</xdr:row>
      <xdr:rowOff>19050</xdr:rowOff>
    </xdr:to>
    <xdr:sp macro="[0]!ISCO_VERBERG_ONDERDEEL">
      <xdr:nvSpPr>
        <xdr:cNvPr id="61" name="AutoShape 106"/>
        <xdr:cNvSpPr>
          <a:spLocks noChangeAspect="1"/>
        </xdr:cNvSpPr>
      </xdr:nvSpPr>
      <xdr:spPr>
        <a:xfrm rot="10800000">
          <a:off x="209550" y="94392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563</xdr:row>
      <xdr:rowOff>9525</xdr:rowOff>
    </xdr:from>
    <xdr:to>
      <xdr:col>1</xdr:col>
      <xdr:colOff>600075</xdr:colOff>
      <xdr:row>563</xdr:row>
      <xdr:rowOff>142875</xdr:rowOff>
    </xdr:to>
    <xdr:sp macro="[0]!ISCO_TOON_Aanleg_systeem">
      <xdr:nvSpPr>
        <xdr:cNvPr id="62" name="AutoShape 19"/>
        <xdr:cNvSpPr>
          <a:spLocks noChangeAspect="1"/>
        </xdr:cNvSpPr>
      </xdr:nvSpPr>
      <xdr:spPr>
        <a:xfrm>
          <a:off x="1076325"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563</xdr:row>
      <xdr:rowOff>9525</xdr:rowOff>
    </xdr:from>
    <xdr:to>
      <xdr:col>1</xdr:col>
      <xdr:colOff>485775</xdr:colOff>
      <xdr:row>563</xdr:row>
      <xdr:rowOff>142875</xdr:rowOff>
    </xdr:to>
    <xdr:sp macro="[0]!ISCO_VERBERG_Aanleg_systeem">
      <xdr:nvSpPr>
        <xdr:cNvPr id="63" name="AutoShape 20"/>
        <xdr:cNvSpPr>
          <a:spLocks noChangeAspect="1"/>
        </xdr:cNvSpPr>
      </xdr:nvSpPr>
      <xdr:spPr>
        <a:xfrm rot="10800000">
          <a:off x="962025"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590</xdr:row>
      <xdr:rowOff>19050</xdr:rowOff>
    </xdr:from>
    <xdr:to>
      <xdr:col>2</xdr:col>
      <xdr:colOff>0</xdr:colOff>
      <xdr:row>590</xdr:row>
      <xdr:rowOff>152400</xdr:rowOff>
    </xdr:to>
    <xdr:sp macro="[0]!ISCO_TOON_Instandhouden_systeem">
      <xdr:nvSpPr>
        <xdr:cNvPr id="64" name="AutoShape 19"/>
        <xdr:cNvSpPr>
          <a:spLocks noChangeAspect="1"/>
        </xdr:cNvSpPr>
      </xdr:nvSpPr>
      <xdr:spPr>
        <a:xfrm>
          <a:off x="10858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590</xdr:row>
      <xdr:rowOff>9525</xdr:rowOff>
    </xdr:from>
    <xdr:to>
      <xdr:col>1</xdr:col>
      <xdr:colOff>495300</xdr:colOff>
      <xdr:row>590</xdr:row>
      <xdr:rowOff>142875</xdr:rowOff>
    </xdr:to>
    <xdr:sp macro="[0]!ISCO_VERBERG_Instandhouden_systeem">
      <xdr:nvSpPr>
        <xdr:cNvPr id="65" name="AutoShape 20"/>
        <xdr:cNvSpPr>
          <a:spLocks noChangeAspect="1"/>
        </xdr:cNvSpPr>
      </xdr:nvSpPr>
      <xdr:spPr>
        <a:xfrm rot="10800000">
          <a:off x="9715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603</xdr:row>
      <xdr:rowOff>0</xdr:rowOff>
    </xdr:from>
    <xdr:to>
      <xdr:col>1</xdr:col>
      <xdr:colOff>419100</xdr:colOff>
      <xdr:row>603</xdr:row>
      <xdr:rowOff>0</xdr:rowOff>
    </xdr:to>
    <xdr:sp>
      <xdr:nvSpPr>
        <xdr:cNvPr id="66" name="AutoShape 19"/>
        <xdr:cNvSpPr>
          <a:spLocks/>
        </xdr:cNvSpPr>
      </xdr:nvSpPr>
      <xdr:spPr>
        <a:xfrm>
          <a:off x="914400" y="9810750"/>
          <a:ext cx="11430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603</xdr:row>
      <xdr:rowOff>0</xdr:rowOff>
    </xdr:from>
    <xdr:to>
      <xdr:col>1</xdr:col>
      <xdr:colOff>581025</xdr:colOff>
      <xdr:row>603</xdr:row>
      <xdr:rowOff>0</xdr:rowOff>
    </xdr:to>
    <xdr:sp>
      <xdr:nvSpPr>
        <xdr:cNvPr id="67" name="AutoShape 20"/>
        <xdr:cNvSpPr>
          <a:spLocks/>
        </xdr:cNvSpPr>
      </xdr:nvSpPr>
      <xdr:spPr>
        <a:xfrm rot="10800000">
          <a:off x="1076325" y="9810750"/>
          <a:ext cx="11430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611</xdr:row>
      <xdr:rowOff>19050</xdr:rowOff>
    </xdr:from>
    <xdr:to>
      <xdr:col>2</xdr:col>
      <xdr:colOff>0</xdr:colOff>
      <xdr:row>611</xdr:row>
      <xdr:rowOff>152400</xdr:rowOff>
    </xdr:to>
    <xdr:sp macro="[0]!ISCO_TOON_Transport_materialen">
      <xdr:nvSpPr>
        <xdr:cNvPr id="68" name="AutoShape 19"/>
        <xdr:cNvSpPr>
          <a:spLocks noChangeAspect="1"/>
        </xdr:cNvSpPr>
      </xdr:nvSpPr>
      <xdr:spPr>
        <a:xfrm>
          <a:off x="10858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611</xdr:row>
      <xdr:rowOff>9525</xdr:rowOff>
    </xdr:from>
    <xdr:to>
      <xdr:col>1</xdr:col>
      <xdr:colOff>495300</xdr:colOff>
      <xdr:row>611</xdr:row>
      <xdr:rowOff>142875</xdr:rowOff>
    </xdr:to>
    <xdr:sp macro="[0]!ISCO_VERBERG_Transport_materialen">
      <xdr:nvSpPr>
        <xdr:cNvPr id="69" name="AutoShape 20"/>
        <xdr:cNvSpPr>
          <a:spLocks noChangeAspect="1"/>
        </xdr:cNvSpPr>
      </xdr:nvSpPr>
      <xdr:spPr>
        <a:xfrm rot="10800000">
          <a:off x="9715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631</xdr:row>
      <xdr:rowOff>9525</xdr:rowOff>
    </xdr:from>
    <xdr:to>
      <xdr:col>0</xdr:col>
      <xdr:colOff>581025</xdr:colOff>
      <xdr:row>632</xdr:row>
      <xdr:rowOff>9525</xdr:rowOff>
    </xdr:to>
    <xdr:sp macro="[0]!Biostim_TOON_ONDERDEEL">
      <xdr:nvSpPr>
        <xdr:cNvPr id="70" name="AutoShape 105"/>
        <xdr:cNvSpPr>
          <a:spLocks noChangeAspect="1"/>
        </xdr:cNvSpPr>
      </xdr:nvSpPr>
      <xdr:spPr>
        <a:xfrm>
          <a:off x="390525" y="99822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631</xdr:row>
      <xdr:rowOff>9525</xdr:rowOff>
    </xdr:from>
    <xdr:to>
      <xdr:col>0</xdr:col>
      <xdr:colOff>419100</xdr:colOff>
      <xdr:row>632</xdr:row>
      <xdr:rowOff>9525</xdr:rowOff>
    </xdr:to>
    <xdr:sp macro="[0]!Biostim_VERBERG_ONDERDEEL">
      <xdr:nvSpPr>
        <xdr:cNvPr id="71" name="AutoShape 106"/>
        <xdr:cNvSpPr>
          <a:spLocks noChangeAspect="1"/>
        </xdr:cNvSpPr>
      </xdr:nvSpPr>
      <xdr:spPr>
        <a:xfrm rot="10800000">
          <a:off x="228600" y="99822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633</xdr:row>
      <xdr:rowOff>19050</xdr:rowOff>
    </xdr:from>
    <xdr:to>
      <xdr:col>2</xdr:col>
      <xdr:colOff>0</xdr:colOff>
      <xdr:row>633</xdr:row>
      <xdr:rowOff>152400</xdr:rowOff>
    </xdr:to>
    <xdr:sp macro="[0]!Biostim_TOON_Aanleg_systeem">
      <xdr:nvSpPr>
        <xdr:cNvPr id="72" name="AutoShape 19"/>
        <xdr:cNvSpPr>
          <a:spLocks noChangeAspect="1"/>
        </xdr:cNvSpPr>
      </xdr:nvSpPr>
      <xdr:spPr>
        <a:xfrm>
          <a:off x="1085850"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633</xdr:row>
      <xdr:rowOff>9525</xdr:rowOff>
    </xdr:from>
    <xdr:to>
      <xdr:col>1</xdr:col>
      <xdr:colOff>495300</xdr:colOff>
      <xdr:row>633</xdr:row>
      <xdr:rowOff>142875</xdr:rowOff>
    </xdr:to>
    <xdr:sp macro="[0]!Biostim_VERBERG_Aanleg_systeem">
      <xdr:nvSpPr>
        <xdr:cNvPr id="73" name="AutoShape 20"/>
        <xdr:cNvSpPr>
          <a:spLocks noChangeAspect="1"/>
        </xdr:cNvSpPr>
      </xdr:nvSpPr>
      <xdr:spPr>
        <a:xfrm rot="10800000">
          <a:off x="971550"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660</xdr:row>
      <xdr:rowOff>19050</xdr:rowOff>
    </xdr:from>
    <xdr:to>
      <xdr:col>2</xdr:col>
      <xdr:colOff>9525</xdr:colOff>
      <xdr:row>660</xdr:row>
      <xdr:rowOff>152400</xdr:rowOff>
    </xdr:to>
    <xdr:sp macro="[0]!Biostim_TOON_Substraat">
      <xdr:nvSpPr>
        <xdr:cNvPr id="74" name="AutoShape 19"/>
        <xdr:cNvSpPr>
          <a:spLocks noChangeAspect="1"/>
        </xdr:cNvSpPr>
      </xdr:nvSpPr>
      <xdr:spPr>
        <a:xfrm>
          <a:off x="1095375"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660</xdr:row>
      <xdr:rowOff>9525</xdr:rowOff>
    </xdr:from>
    <xdr:to>
      <xdr:col>1</xdr:col>
      <xdr:colOff>504825</xdr:colOff>
      <xdr:row>660</xdr:row>
      <xdr:rowOff>142875</xdr:rowOff>
    </xdr:to>
    <xdr:sp macro="[0]!Biostim_VERBERG_Substraat">
      <xdr:nvSpPr>
        <xdr:cNvPr id="75" name="AutoShape 20"/>
        <xdr:cNvSpPr>
          <a:spLocks noChangeAspect="1"/>
        </xdr:cNvSpPr>
      </xdr:nvSpPr>
      <xdr:spPr>
        <a:xfrm rot="10800000">
          <a:off x="981075"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691</xdr:row>
      <xdr:rowOff>19050</xdr:rowOff>
    </xdr:from>
    <xdr:to>
      <xdr:col>2</xdr:col>
      <xdr:colOff>9525</xdr:colOff>
      <xdr:row>691</xdr:row>
      <xdr:rowOff>152400</xdr:rowOff>
    </xdr:to>
    <xdr:sp macro="[0]!Biostim_TOON_Transport_materialen">
      <xdr:nvSpPr>
        <xdr:cNvPr id="76" name="AutoShape 19"/>
        <xdr:cNvSpPr>
          <a:spLocks noChangeAspect="1"/>
        </xdr:cNvSpPr>
      </xdr:nvSpPr>
      <xdr:spPr>
        <a:xfrm>
          <a:off x="1095375"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691</xdr:row>
      <xdr:rowOff>9525</xdr:rowOff>
    </xdr:from>
    <xdr:to>
      <xdr:col>1</xdr:col>
      <xdr:colOff>514350</xdr:colOff>
      <xdr:row>691</xdr:row>
      <xdr:rowOff>142875</xdr:rowOff>
    </xdr:to>
    <xdr:sp macro="[0]!Biostim_VERBERG_Transport_materialen">
      <xdr:nvSpPr>
        <xdr:cNvPr id="77" name="AutoShape 20"/>
        <xdr:cNvSpPr>
          <a:spLocks noChangeAspect="1"/>
        </xdr:cNvSpPr>
      </xdr:nvSpPr>
      <xdr:spPr>
        <a:xfrm rot="10800000">
          <a:off x="990600"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836</xdr:row>
      <xdr:rowOff>38100</xdr:rowOff>
    </xdr:from>
    <xdr:to>
      <xdr:col>1</xdr:col>
      <xdr:colOff>0</xdr:colOff>
      <xdr:row>837</xdr:row>
      <xdr:rowOff>38100</xdr:rowOff>
    </xdr:to>
    <xdr:sp macro="[0]!TOEZICHT_TOON_ONDERDEEL">
      <xdr:nvSpPr>
        <xdr:cNvPr id="78" name="AutoShape 105"/>
        <xdr:cNvSpPr>
          <a:spLocks noChangeAspect="1"/>
        </xdr:cNvSpPr>
      </xdr:nvSpPr>
      <xdr:spPr>
        <a:xfrm>
          <a:off x="419100" y="111156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836</xdr:row>
      <xdr:rowOff>28575</xdr:rowOff>
    </xdr:from>
    <xdr:to>
      <xdr:col>0</xdr:col>
      <xdr:colOff>438150</xdr:colOff>
      <xdr:row>837</xdr:row>
      <xdr:rowOff>28575</xdr:rowOff>
    </xdr:to>
    <xdr:sp macro="[0]!TOEZICHT_VERBERG_ONDERDEEL">
      <xdr:nvSpPr>
        <xdr:cNvPr id="79" name="AutoShape 106"/>
        <xdr:cNvSpPr>
          <a:spLocks noChangeAspect="1"/>
        </xdr:cNvSpPr>
      </xdr:nvSpPr>
      <xdr:spPr>
        <a:xfrm rot="10800000">
          <a:off x="247650" y="111061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838</xdr:row>
      <xdr:rowOff>19050</xdr:rowOff>
    </xdr:from>
    <xdr:to>
      <xdr:col>2</xdr:col>
      <xdr:colOff>0</xdr:colOff>
      <xdr:row>838</xdr:row>
      <xdr:rowOff>152400</xdr:rowOff>
    </xdr:to>
    <xdr:sp macro="[0]!TOEZICHT_TOON_Tijdens_sanering">
      <xdr:nvSpPr>
        <xdr:cNvPr id="80" name="AutoShape 19"/>
        <xdr:cNvSpPr>
          <a:spLocks noChangeAspect="1"/>
        </xdr:cNvSpPr>
      </xdr:nvSpPr>
      <xdr:spPr>
        <a:xfrm>
          <a:off x="1085850"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838</xdr:row>
      <xdr:rowOff>9525</xdr:rowOff>
    </xdr:from>
    <xdr:to>
      <xdr:col>1</xdr:col>
      <xdr:colOff>485775</xdr:colOff>
      <xdr:row>838</xdr:row>
      <xdr:rowOff>142875</xdr:rowOff>
    </xdr:to>
    <xdr:sp macro="[0]!TOEZICHT_VERBERG_Tijdens_sanering">
      <xdr:nvSpPr>
        <xdr:cNvPr id="81" name="AutoShape 20"/>
        <xdr:cNvSpPr>
          <a:spLocks noChangeAspect="1"/>
        </xdr:cNvSpPr>
      </xdr:nvSpPr>
      <xdr:spPr>
        <a:xfrm rot="10800000">
          <a:off x="962025"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881</xdr:row>
      <xdr:rowOff>19050</xdr:rowOff>
    </xdr:from>
    <xdr:to>
      <xdr:col>2</xdr:col>
      <xdr:colOff>0</xdr:colOff>
      <xdr:row>881</xdr:row>
      <xdr:rowOff>152400</xdr:rowOff>
    </xdr:to>
    <xdr:sp macro="[0]!TOEZICHT_TOON_Tijdens_monitoring">
      <xdr:nvSpPr>
        <xdr:cNvPr id="82" name="AutoShape 19"/>
        <xdr:cNvSpPr>
          <a:spLocks noChangeAspect="1"/>
        </xdr:cNvSpPr>
      </xdr:nvSpPr>
      <xdr:spPr>
        <a:xfrm>
          <a:off x="1085850"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881</xdr:row>
      <xdr:rowOff>9525</xdr:rowOff>
    </xdr:from>
    <xdr:to>
      <xdr:col>1</xdr:col>
      <xdr:colOff>485775</xdr:colOff>
      <xdr:row>881</xdr:row>
      <xdr:rowOff>142875</xdr:rowOff>
    </xdr:to>
    <xdr:sp macro="[0]!TOEZICHT_VERBERG_Tijdens_monitoring">
      <xdr:nvSpPr>
        <xdr:cNvPr id="83" name="AutoShape 20"/>
        <xdr:cNvSpPr>
          <a:spLocks noChangeAspect="1"/>
        </xdr:cNvSpPr>
      </xdr:nvSpPr>
      <xdr:spPr>
        <a:xfrm rot="10800000">
          <a:off x="962025"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711</xdr:row>
      <xdr:rowOff>28575</xdr:rowOff>
    </xdr:from>
    <xdr:to>
      <xdr:col>0</xdr:col>
      <xdr:colOff>600075</xdr:colOff>
      <xdr:row>712</xdr:row>
      <xdr:rowOff>28575</xdr:rowOff>
    </xdr:to>
    <xdr:sp macro="[0]!Therm_TOON_ONDERDEEL">
      <xdr:nvSpPr>
        <xdr:cNvPr id="84" name="AutoShape 105"/>
        <xdr:cNvSpPr>
          <a:spLocks noChangeAspect="1"/>
        </xdr:cNvSpPr>
      </xdr:nvSpPr>
      <xdr:spPr>
        <a:xfrm>
          <a:off x="409575" y="105537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711</xdr:row>
      <xdr:rowOff>28575</xdr:rowOff>
    </xdr:from>
    <xdr:to>
      <xdr:col>0</xdr:col>
      <xdr:colOff>428625</xdr:colOff>
      <xdr:row>712</xdr:row>
      <xdr:rowOff>28575</xdr:rowOff>
    </xdr:to>
    <xdr:sp macro="[0]!Therm_VERBERG_ONDERDEEL">
      <xdr:nvSpPr>
        <xdr:cNvPr id="85" name="AutoShape 106"/>
        <xdr:cNvSpPr>
          <a:spLocks noChangeAspect="1"/>
        </xdr:cNvSpPr>
      </xdr:nvSpPr>
      <xdr:spPr>
        <a:xfrm rot="10800000">
          <a:off x="238125" y="105537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713</xdr:row>
      <xdr:rowOff>19050</xdr:rowOff>
    </xdr:from>
    <xdr:to>
      <xdr:col>2</xdr:col>
      <xdr:colOff>0</xdr:colOff>
      <xdr:row>713</xdr:row>
      <xdr:rowOff>152400</xdr:rowOff>
    </xdr:to>
    <xdr:sp macro="[0]!Therm_TOON_Aanleg_systeem">
      <xdr:nvSpPr>
        <xdr:cNvPr id="86" name="AutoShape 19"/>
        <xdr:cNvSpPr>
          <a:spLocks noChangeAspect="1"/>
        </xdr:cNvSpPr>
      </xdr:nvSpPr>
      <xdr:spPr>
        <a:xfrm>
          <a:off x="10858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713</xdr:row>
      <xdr:rowOff>9525</xdr:rowOff>
    </xdr:from>
    <xdr:to>
      <xdr:col>1</xdr:col>
      <xdr:colOff>495300</xdr:colOff>
      <xdr:row>713</xdr:row>
      <xdr:rowOff>142875</xdr:rowOff>
    </xdr:to>
    <xdr:sp macro="[0]!Therm_VERBERG_Aanleg_systeem">
      <xdr:nvSpPr>
        <xdr:cNvPr id="87"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770</xdr:row>
      <xdr:rowOff>19050</xdr:rowOff>
    </xdr:from>
    <xdr:to>
      <xdr:col>2</xdr:col>
      <xdr:colOff>0</xdr:colOff>
      <xdr:row>770</xdr:row>
      <xdr:rowOff>152400</xdr:rowOff>
    </xdr:to>
    <xdr:sp macro="[0]!Therm_TOON_Instandhouden_systeem">
      <xdr:nvSpPr>
        <xdr:cNvPr id="88" name="AutoShape 19"/>
        <xdr:cNvSpPr>
          <a:spLocks noChangeAspect="1"/>
        </xdr:cNvSpPr>
      </xdr:nvSpPr>
      <xdr:spPr>
        <a:xfrm>
          <a:off x="10858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770</xdr:row>
      <xdr:rowOff>9525</xdr:rowOff>
    </xdr:from>
    <xdr:to>
      <xdr:col>1</xdr:col>
      <xdr:colOff>495300</xdr:colOff>
      <xdr:row>770</xdr:row>
      <xdr:rowOff>142875</xdr:rowOff>
    </xdr:to>
    <xdr:sp macro="[0]!Therm_VERBERG_Instandhouden_systeem">
      <xdr:nvSpPr>
        <xdr:cNvPr id="89"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816</xdr:row>
      <xdr:rowOff>19050</xdr:rowOff>
    </xdr:from>
    <xdr:to>
      <xdr:col>1</xdr:col>
      <xdr:colOff>600075</xdr:colOff>
      <xdr:row>816</xdr:row>
      <xdr:rowOff>152400</xdr:rowOff>
    </xdr:to>
    <xdr:sp macro="[0]!Therm_TOON_Transport_materialen">
      <xdr:nvSpPr>
        <xdr:cNvPr id="90" name="AutoShape 19"/>
        <xdr:cNvSpPr>
          <a:spLocks noChangeAspect="1"/>
        </xdr:cNvSpPr>
      </xdr:nvSpPr>
      <xdr:spPr>
        <a:xfrm>
          <a:off x="1076325"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816</xdr:row>
      <xdr:rowOff>9525</xdr:rowOff>
    </xdr:from>
    <xdr:to>
      <xdr:col>1</xdr:col>
      <xdr:colOff>495300</xdr:colOff>
      <xdr:row>816</xdr:row>
      <xdr:rowOff>142875</xdr:rowOff>
    </xdr:to>
    <xdr:sp macro="[0]!Therm_VERBERG_Transport_materialen">
      <xdr:nvSpPr>
        <xdr:cNvPr id="91"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801</xdr:row>
      <xdr:rowOff>19050</xdr:rowOff>
    </xdr:from>
    <xdr:to>
      <xdr:col>2</xdr:col>
      <xdr:colOff>0</xdr:colOff>
      <xdr:row>801</xdr:row>
      <xdr:rowOff>152400</xdr:rowOff>
    </xdr:to>
    <xdr:sp macro="[0]!Therm_TOON_Verbrandingsreactie">
      <xdr:nvSpPr>
        <xdr:cNvPr id="92" name="AutoShape 19"/>
        <xdr:cNvSpPr>
          <a:spLocks noChangeAspect="1"/>
        </xdr:cNvSpPr>
      </xdr:nvSpPr>
      <xdr:spPr>
        <a:xfrm>
          <a:off x="10858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801</xdr:row>
      <xdr:rowOff>9525</xdr:rowOff>
    </xdr:from>
    <xdr:to>
      <xdr:col>1</xdr:col>
      <xdr:colOff>495300</xdr:colOff>
      <xdr:row>801</xdr:row>
      <xdr:rowOff>142875</xdr:rowOff>
    </xdr:to>
    <xdr:sp macro="[0]!Therm_VERBERG_Verbrandingsreactie">
      <xdr:nvSpPr>
        <xdr:cNvPr id="93"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896</xdr:row>
      <xdr:rowOff>19050</xdr:rowOff>
    </xdr:from>
    <xdr:to>
      <xdr:col>1</xdr:col>
      <xdr:colOff>9525</xdr:colOff>
      <xdr:row>897</xdr:row>
      <xdr:rowOff>19050</xdr:rowOff>
    </xdr:to>
    <xdr:sp macro="[0]!OVERIG_TOON_ONDERDEEL">
      <xdr:nvSpPr>
        <xdr:cNvPr id="94" name="AutoShape 105"/>
        <xdr:cNvSpPr>
          <a:spLocks noChangeAspect="1"/>
        </xdr:cNvSpPr>
      </xdr:nvSpPr>
      <xdr:spPr>
        <a:xfrm>
          <a:off x="428625" y="117919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896</xdr:row>
      <xdr:rowOff>19050</xdr:rowOff>
    </xdr:from>
    <xdr:to>
      <xdr:col>0</xdr:col>
      <xdr:colOff>447675</xdr:colOff>
      <xdr:row>897</xdr:row>
      <xdr:rowOff>19050</xdr:rowOff>
    </xdr:to>
    <xdr:sp macro="[0]!OVERIG_VERBERG_ONDERDEEL">
      <xdr:nvSpPr>
        <xdr:cNvPr id="95" name="AutoShape 106"/>
        <xdr:cNvSpPr>
          <a:spLocks noChangeAspect="1"/>
        </xdr:cNvSpPr>
      </xdr:nvSpPr>
      <xdr:spPr>
        <a:xfrm rot="10800000">
          <a:off x="257175" y="117919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898</xdr:row>
      <xdr:rowOff>19050</xdr:rowOff>
    </xdr:from>
    <xdr:to>
      <xdr:col>1</xdr:col>
      <xdr:colOff>600075</xdr:colOff>
      <xdr:row>898</xdr:row>
      <xdr:rowOff>152400</xdr:rowOff>
    </xdr:to>
    <xdr:sp macro="[0]!OVERIG_TOON_Transport">
      <xdr:nvSpPr>
        <xdr:cNvPr id="96" name="AutoShape 19"/>
        <xdr:cNvSpPr>
          <a:spLocks noChangeAspect="1"/>
        </xdr:cNvSpPr>
      </xdr:nvSpPr>
      <xdr:spPr>
        <a:xfrm>
          <a:off x="10763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898</xdr:row>
      <xdr:rowOff>9525</xdr:rowOff>
    </xdr:from>
    <xdr:to>
      <xdr:col>1</xdr:col>
      <xdr:colOff>485775</xdr:colOff>
      <xdr:row>898</xdr:row>
      <xdr:rowOff>142875</xdr:rowOff>
    </xdr:to>
    <xdr:sp macro="[0]!OVERIG_VERBERG_Transport">
      <xdr:nvSpPr>
        <xdr:cNvPr id="97" name="AutoShape 20"/>
        <xdr:cNvSpPr>
          <a:spLocks noChangeAspect="1"/>
        </xdr:cNvSpPr>
      </xdr:nvSpPr>
      <xdr:spPr>
        <a:xfrm rot="10800000">
          <a:off x="9620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911</xdr:row>
      <xdr:rowOff>19050</xdr:rowOff>
    </xdr:from>
    <xdr:to>
      <xdr:col>1</xdr:col>
      <xdr:colOff>600075</xdr:colOff>
      <xdr:row>911</xdr:row>
      <xdr:rowOff>152400</xdr:rowOff>
    </xdr:to>
    <xdr:sp macro="[0]!OVERIG_TOON_Toepassen_materiaal">
      <xdr:nvSpPr>
        <xdr:cNvPr id="98" name="AutoShape 19"/>
        <xdr:cNvSpPr>
          <a:spLocks noChangeAspect="1"/>
        </xdr:cNvSpPr>
      </xdr:nvSpPr>
      <xdr:spPr>
        <a:xfrm>
          <a:off x="10763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911</xdr:row>
      <xdr:rowOff>9525</xdr:rowOff>
    </xdr:from>
    <xdr:to>
      <xdr:col>1</xdr:col>
      <xdr:colOff>485775</xdr:colOff>
      <xdr:row>911</xdr:row>
      <xdr:rowOff>142875</xdr:rowOff>
    </xdr:to>
    <xdr:sp macro="[0]!OVERIG_VERBERG_Toepassen_materiaal">
      <xdr:nvSpPr>
        <xdr:cNvPr id="99" name="AutoShape 20"/>
        <xdr:cNvSpPr>
          <a:spLocks noChangeAspect="1"/>
        </xdr:cNvSpPr>
      </xdr:nvSpPr>
      <xdr:spPr>
        <a:xfrm rot="10800000">
          <a:off x="9620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932</xdr:row>
      <xdr:rowOff>19050</xdr:rowOff>
    </xdr:from>
    <xdr:to>
      <xdr:col>1</xdr:col>
      <xdr:colOff>600075</xdr:colOff>
      <xdr:row>932</xdr:row>
      <xdr:rowOff>152400</xdr:rowOff>
    </xdr:to>
    <xdr:sp macro="[0]!OVERIG_TOON_Boorwerk">
      <xdr:nvSpPr>
        <xdr:cNvPr id="100" name="AutoShape 19"/>
        <xdr:cNvSpPr>
          <a:spLocks noChangeAspect="1"/>
        </xdr:cNvSpPr>
      </xdr:nvSpPr>
      <xdr:spPr>
        <a:xfrm>
          <a:off x="10763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932</xdr:row>
      <xdr:rowOff>9525</xdr:rowOff>
    </xdr:from>
    <xdr:to>
      <xdr:col>1</xdr:col>
      <xdr:colOff>485775</xdr:colOff>
      <xdr:row>932</xdr:row>
      <xdr:rowOff>142875</xdr:rowOff>
    </xdr:to>
    <xdr:sp macro="[0]!OVERIG_VERBERG_Boorwerk">
      <xdr:nvSpPr>
        <xdr:cNvPr id="101" name="AutoShape 20"/>
        <xdr:cNvSpPr>
          <a:spLocks noChangeAspect="1"/>
        </xdr:cNvSpPr>
      </xdr:nvSpPr>
      <xdr:spPr>
        <a:xfrm rot="10800000">
          <a:off x="9620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7</xdr:row>
      <xdr:rowOff>123825</xdr:rowOff>
    </xdr:from>
    <xdr:to>
      <xdr:col>10</xdr:col>
      <xdr:colOff>514350</xdr:colOff>
      <xdr:row>10</xdr:row>
      <xdr:rowOff>76200</xdr:rowOff>
    </xdr:to>
    <xdr:pic>
      <xdr:nvPicPr>
        <xdr:cNvPr id="102" name="Picture 8" descr="logo"/>
        <xdr:cNvPicPr preferRelativeResize="1">
          <a:picLocks noChangeAspect="1"/>
        </xdr:cNvPicPr>
      </xdr:nvPicPr>
      <xdr:blipFill>
        <a:blip r:embed="rId2"/>
        <a:stretch>
          <a:fillRect/>
        </a:stretch>
      </xdr:blipFill>
      <xdr:spPr>
        <a:xfrm>
          <a:off x="6219825" y="1343025"/>
          <a:ext cx="676275" cy="438150"/>
        </a:xfrm>
        <a:prstGeom prst="rect">
          <a:avLst/>
        </a:prstGeom>
        <a:noFill/>
        <a:ln w="9525" cmpd="sng">
          <a:noFill/>
        </a:ln>
      </xdr:spPr>
    </xdr:pic>
    <xdr:clientData/>
  </xdr:twoCellAnchor>
  <xdr:twoCellAnchor>
    <xdr:from>
      <xdr:col>11</xdr:col>
      <xdr:colOff>142875</xdr:colOff>
      <xdr:row>6</xdr:row>
      <xdr:rowOff>19050</xdr:rowOff>
    </xdr:from>
    <xdr:to>
      <xdr:col>11</xdr:col>
      <xdr:colOff>504825</xdr:colOff>
      <xdr:row>9</xdr:row>
      <xdr:rowOff>85725</xdr:rowOff>
    </xdr:to>
    <xdr:pic>
      <xdr:nvPicPr>
        <xdr:cNvPr id="103" name="Picture 9" descr="boven"/>
        <xdr:cNvPicPr preferRelativeResize="1">
          <a:picLocks noChangeAspect="1"/>
        </xdr:cNvPicPr>
      </xdr:nvPicPr>
      <xdr:blipFill>
        <a:blip r:embed="rId3"/>
        <a:stretch>
          <a:fillRect/>
        </a:stretch>
      </xdr:blipFill>
      <xdr:spPr>
        <a:xfrm>
          <a:off x="7134225" y="1076325"/>
          <a:ext cx="361950" cy="552450"/>
        </a:xfrm>
        <a:prstGeom prst="rect">
          <a:avLst/>
        </a:prstGeom>
        <a:noFill/>
        <a:ln w="9525" cmpd="sng">
          <a:noFill/>
        </a:ln>
      </xdr:spPr>
    </xdr:pic>
    <xdr:clientData/>
  </xdr:twoCellAnchor>
  <xdr:twoCellAnchor>
    <xdr:from>
      <xdr:col>12</xdr:col>
      <xdr:colOff>28575</xdr:colOff>
      <xdr:row>5</xdr:row>
      <xdr:rowOff>85725</xdr:rowOff>
    </xdr:from>
    <xdr:to>
      <xdr:col>13</xdr:col>
      <xdr:colOff>238125</xdr:colOff>
      <xdr:row>6</xdr:row>
      <xdr:rowOff>142875</xdr:rowOff>
    </xdr:to>
    <xdr:pic>
      <xdr:nvPicPr>
        <xdr:cNvPr id="104" name="Picture 10" descr="Provincie Overijssel"/>
        <xdr:cNvPicPr preferRelativeResize="1">
          <a:picLocks noChangeAspect="1"/>
        </xdr:cNvPicPr>
      </xdr:nvPicPr>
      <xdr:blipFill>
        <a:blip r:embed="rId4"/>
        <a:stretch>
          <a:fillRect/>
        </a:stretch>
      </xdr:blipFill>
      <xdr:spPr>
        <a:xfrm>
          <a:off x="7629525" y="981075"/>
          <a:ext cx="819150" cy="219075"/>
        </a:xfrm>
        <a:prstGeom prst="rect">
          <a:avLst/>
        </a:prstGeom>
        <a:noFill/>
        <a:ln w="9525" cmpd="sng">
          <a:noFill/>
        </a:ln>
      </xdr:spPr>
    </xdr:pic>
    <xdr:clientData/>
  </xdr:twoCellAnchor>
  <xdr:twoCellAnchor>
    <xdr:from>
      <xdr:col>9</xdr:col>
      <xdr:colOff>438150</xdr:colOff>
      <xdr:row>5</xdr:row>
      <xdr:rowOff>114300</xdr:rowOff>
    </xdr:from>
    <xdr:to>
      <xdr:col>10</xdr:col>
      <xdr:colOff>571500</xdr:colOff>
      <xdr:row>7</xdr:row>
      <xdr:rowOff>95250</xdr:rowOff>
    </xdr:to>
    <xdr:pic>
      <xdr:nvPicPr>
        <xdr:cNvPr id="105" name="Picture 5" descr="ecofys-logo">
          <a:hlinkClick r:id="rId7"/>
        </xdr:cNvPr>
        <xdr:cNvPicPr preferRelativeResize="1">
          <a:picLocks noChangeAspect="1"/>
        </xdr:cNvPicPr>
      </xdr:nvPicPr>
      <xdr:blipFill>
        <a:blip r:embed="rId5"/>
        <a:stretch>
          <a:fillRect/>
        </a:stretch>
      </xdr:blipFill>
      <xdr:spPr>
        <a:xfrm>
          <a:off x="6210300" y="1009650"/>
          <a:ext cx="742950" cy="304800"/>
        </a:xfrm>
        <a:prstGeom prst="rect">
          <a:avLst/>
        </a:prstGeom>
        <a:noFill/>
        <a:ln w="9525" cmpd="sng">
          <a:noFill/>
        </a:ln>
      </xdr:spPr>
    </xdr:pic>
    <xdr:clientData/>
  </xdr:twoCellAnchor>
  <xdr:twoCellAnchor>
    <xdr:from>
      <xdr:col>13</xdr:col>
      <xdr:colOff>352425</xdr:colOff>
      <xdr:row>6</xdr:row>
      <xdr:rowOff>114300</xdr:rowOff>
    </xdr:from>
    <xdr:to>
      <xdr:col>15</xdr:col>
      <xdr:colOff>28575</xdr:colOff>
      <xdr:row>8</xdr:row>
      <xdr:rowOff>104775</xdr:rowOff>
    </xdr:to>
    <xdr:pic>
      <xdr:nvPicPr>
        <xdr:cNvPr id="106" name="Picture 7" descr="Groundwater Technology">
          <a:hlinkClick r:id="rId10"/>
        </xdr:cNvPr>
        <xdr:cNvPicPr preferRelativeResize="1">
          <a:picLocks noChangeAspect="1"/>
        </xdr:cNvPicPr>
      </xdr:nvPicPr>
      <xdr:blipFill>
        <a:blip r:embed="rId8"/>
        <a:stretch>
          <a:fillRect/>
        </a:stretch>
      </xdr:blipFill>
      <xdr:spPr>
        <a:xfrm>
          <a:off x="8562975" y="1171575"/>
          <a:ext cx="895350" cy="314325"/>
        </a:xfrm>
        <a:prstGeom prst="rect">
          <a:avLst/>
        </a:prstGeom>
        <a:noFill/>
        <a:ln w="9525" cmpd="sng">
          <a:noFill/>
        </a:ln>
      </xdr:spPr>
    </xdr:pic>
    <xdr:clientData/>
  </xdr:twoCellAnchor>
  <xdr:twoCellAnchor>
    <xdr:from>
      <xdr:col>12</xdr:col>
      <xdr:colOff>123825</xdr:colOff>
      <xdr:row>7</xdr:row>
      <xdr:rowOff>57150</xdr:rowOff>
    </xdr:from>
    <xdr:to>
      <xdr:col>13</xdr:col>
      <xdr:colOff>238125</xdr:colOff>
      <xdr:row>10</xdr:row>
      <xdr:rowOff>28575</xdr:rowOff>
    </xdr:to>
    <xdr:pic>
      <xdr:nvPicPr>
        <xdr:cNvPr id="107" name="Picture 6" descr="Heijmansnieuw_350"/>
        <xdr:cNvPicPr preferRelativeResize="1">
          <a:picLocks noChangeAspect="1"/>
        </xdr:cNvPicPr>
      </xdr:nvPicPr>
      <xdr:blipFill>
        <a:blip r:embed="rId11"/>
        <a:stretch>
          <a:fillRect/>
        </a:stretch>
      </xdr:blipFill>
      <xdr:spPr>
        <a:xfrm>
          <a:off x="7724775" y="1276350"/>
          <a:ext cx="7239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47</xdr:row>
      <xdr:rowOff>47625</xdr:rowOff>
    </xdr:from>
    <xdr:to>
      <xdr:col>8</xdr:col>
      <xdr:colOff>247650</xdr:colOff>
      <xdr:row>65</xdr:row>
      <xdr:rowOff>57150</xdr:rowOff>
    </xdr:to>
    <xdr:graphicFrame>
      <xdr:nvGraphicFramePr>
        <xdr:cNvPr id="1" name="Grafiek 2"/>
        <xdr:cNvGraphicFramePr/>
      </xdr:nvGraphicFramePr>
      <xdr:xfrm>
        <a:off x="552450" y="7524750"/>
        <a:ext cx="4772025" cy="2924175"/>
      </xdr:xfrm>
      <a:graphic>
        <a:graphicData uri="http://schemas.openxmlformats.org/drawingml/2006/chart">
          <c:chart xmlns:c="http://schemas.openxmlformats.org/drawingml/2006/chart" r:id="rId1"/>
        </a:graphicData>
      </a:graphic>
    </xdr:graphicFrame>
    <xdr:clientData/>
  </xdr:twoCellAnchor>
  <xdr:twoCellAnchor>
    <xdr:from>
      <xdr:col>8</xdr:col>
      <xdr:colOff>590550</xdr:colOff>
      <xdr:row>47</xdr:row>
      <xdr:rowOff>28575</xdr:rowOff>
    </xdr:from>
    <xdr:to>
      <xdr:col>16</xdr:col>
      <xdr:colOff>285750</xdr:colOff>
      <xdr:row>65</xdr:row>
      <xdr:rowOff>28575</xdr:rowOff>
    </xdr:to>
    <xdr:graphicFrame>
      <xdr:nvGraphicFramePr>
        <xdr:cNvPr id="2" name="Grafiek 3"/>
        <xdr:cNvGraphicFramePr/>
      </xdr:nvGraphicFramePr>
      <xdr:xfrm>
        <a:off x="5667375" y="7505700"/>
        <a:ext cx="4676775" cy="29146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66</xdr:row>
      <xdr:rowOff>57150</xdr:rowOff>
    </xdr:from>
    <xdr:to>
      <xdr:col>8</xdr:col>
      <xdr:colOff>247650</xdr:colOff>
      <xdr:row>84</xdr:row>
      <xdr:rowOff>0</xdr:rowOff>
    </xdr:to>
    <xdr:graphicFrame>
      <xdr:nvGraphicFramePr>
        <xdr:cNvPr id="3" name="Grafiek 4"/>
        <xdr:cNvGraphicFramePr/>
      </xdr:nvGraphicFramePr>
      <xdr:xfrm>
        <a:off x="552450" y="10610850"/>
        <a:ext cx="4772025" cy="2857500"/>
      </xdr:xfrm>
      <a:graphic>
        <a:graphicData uri="http://schemas.openxmlformats.org/drawingml/2006/chart">
          <c:chart xmlns:c="http://schemas.openxmlformats.org/drawingml/2006/chart" r:id="rId3"/>
        </a:graphicData>
      </a:graphic>
    </xdr:graphicFrame>
    <xdr:clientData/>
  </xdr:twoCellAnchor>
  <xdr:twoCellAnchor>
    <xdr:from>
      <xdr:col>8</xdr:col>
      <xdr:colOff>600075</xdr:colOff>
      <xdr:row>66</xdr:row>
      <xdr:rowOff>66675</xdr:rowOff>
    </xdr:from>
    <xdr:to>
      <xdr:col>16</xdr:col>
      <xdr:colOff>295275</xdr:colOff>
      <xdr:row>84</xdr:row>
      <xdr:rowOff>9525</xdr:rowOff>
    </xdr:to>
    <xdr:graphicFrame>
      <xdr:nvGraphicFramePr>
        <xdr:cNvPr id="4" name="Grafiek 5"/>
        <xdr:cNvGraphicFramePr/>
      </xdr:nvGraphicFramePr>
      <xdr:xfrm>
        <a:off x="5676900" y="10620375"/>
        <a:ext cx="4676775" cy="2857500"/>
      </xdr:xfrm>
      <a:graphic>
        <a:graphicData uri="http://schemas.openxmlformats.org/drawingml/2006/chart">
          <c:chart xmlns:c="http://schemas.openxmlformats.org/drawingml/2006/chart" r:id="rId4"/>
        </a:graphicData>
      </a:graphic>
    </xdr:graphicFrame>
    <xdr:clientData/>
  </xdr:twoCellAnchor>
  <xdr:twoCellAnchor>
    <xdr:from>
      <xdr:col>0</xdr:col>
      <xdr:colOff>571500</xdr:colOff>
      <xdr:row>85</xdr:row>
      <xdr:rowOff>38100</xdr:rowOff>
    </xdr:from>
    <xdr:to>
      <xdr:col>8</xdr:col>
      <xdr:colOff>266700</xdr:colOff>
      <xdr:row>102</xdr:row>
      <xdr:rowOff>28575</xdr:rowOff>
    </xdr:to>
    <xdr:graphicFrame>
      <xdr:nvGraphicFramePr>
        <xdr:cNvPr id="5" name="Grafiek 6"/>
        <xdr:cNvGraphicFramePr/>
      </xdr:nvGraphicFramePr>
      <xdr:xfrm>
        <a:off x="571500" y="13668375"/>
        <a:ext cx="4772025" cy="2743200"/>
      </xdr:xfrm>
      <a:graphic>
        <a:graphicData uri="http://schemas.openxmlformats.org/drawingml/2006/chart">
          <c:chart xmlns:c="http://schemas.openxmlformats.org/drawingml/2006/chart" r:id="rId5"/>
        </a:graphicData>
      </a:graphic>
    </xdr:graphicFrame>
    <xdr:clientData/>
  </xdr:twoCellAnchor>
  <xdr:twoCellAnchor>
    <xdr:from>
      <xdr:col>8</xdr:col>
      <xdr:colOff>590550</xdr:colOff>
      <xdr:row>85</xdr:row>
      <xdr:rowOff>38100</xdr:rowOff>
    </xdr:from>
    <xdr:to>
      <xdr:col>16</xdr:col>
      <xdr:colOff>285750</xdr:colOff>
      <xdr:row>102</xdr:row>
      <xdr:rowOff>28575</xdr:rowOff>
    </xdr:to>
    <xdr:graphicFrame>
      <xdr:nvGraphicFramePr>
        <xdr:cNvPr id="6" name="Grafiek 7"/>
        <xdr:cNvGraphicFramePr/>
      </xdr:nvGraphicFramePr>
      <xdr:xfrm>
        <a:off x="5667375" y="13668375"/>
        <a:ext cx="4676775" cy="2743200"/>
      </xdr:xfrm>
      <a:graphic>
        <a:graphicData uri="http://schemas.openxmlformats.org/drawingml/2006/chart">
          <c:chart xmlns:c="http://schemas.openxmlformats.org/drawingml/2006/chart" r:id="rId6"/>
        </a:graphicData>
      </a:graphic>
    </xdr:graphicFrame>
    <xdr:clientData/>
  </xdr:twoCellAnchor>
  <xdr:twoCellAnchor>
    <xdr:from>
      <xdr:col>0</xdr:col>
      <xdr:colOff>571500</xdr:colOff>
      <xdr:row>103</xdr:row>
      <xdr:rowOff>28575</xdr:rowOff>
    </xdr:from>
    <xdr:to>
      <xdr:col>8</xdr:col>
      <xdr:colOff>266700</xdr:colOff>
      <xdr:row>120</xdr:row>
      <xdr:rowOff>19050</xdr:rowOff>
    </xdr:to>
    <xdr:graphicFrame>
      <xdr:nvGraphicFramePr>
        <xdr:cNvPr id="7" name="Grafiek 8"/>
        <xdr:cNvGraphicFramePr/>
      </xdr:nvGraphicFramePr>
      <xdr:xfrm>
        <a:off x="571500" y="16573500"/>
        <a:ext cx="4772025" cy="274320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103</xdr:row>
      <xdr:rowOff>0</xdr:rowOff>
    </xdr:from>
    <xdr:to>
      <xdr:col>16</xdr:col>
      <xdr:colOff>304800</xdr:colOff>
      <xdr:row>119</xdr:row>
      <xdr:rowOff>152400</xdr:rowOff>
    </xdr:to>
    <xdr:graphicFrame>
      <xdr:nvGraphicFramePr>
        <xdr:cNvPr id="8" name="Grafiek 9"/>
        <xdr:cNvGraphicFramePr/>
      </xdr:nvGraphicFramePr>
      <xdr:xfrm>
        <a:off x="5686425" y="16544925"/>
        <a:ext cx="4676775" cy="2743200"/>
      </xdr:xfrm>
      <a:graphic>
        <a:graphicData uri="http://schemas.openxmlformats.org/drawingml/2006/chart">
          <c:chart xmlns:c="http://schemas.openxmlformats.org/drawingml/2006/chart" r:id="rId8"/>
        </a:graphicData>
      </a:graphic>
    </xdr:graphicFrame>
    <xdr:clientData/>
  </xdr:twoCellAnchor>
  <xdr:twoCellAnchor>
    <xdr:from>
      <xdr:col>0</xdr:col>
      <xdr:colOff>495300</xdr:colOff>
      <xdr:row>121</xdr:row>
      <xdr:rowOff>57150</xdr:rowOff>
    </xdr:from>
    <xdr:to>
      <xdr:col>8</xdr:col>
      <xdr:colOff>200025</xdr:colOff>
      <xdr:row>138</xdr:row>
      <xdr:rowOff>57150</xdr:rowOff>
    </xdr:to>
    <xdr:graphicFrame>
      <xdr:nvGraphicFramePr>
        <xdr:cNvPr id="9" name="Chart 21"/>
        <xdr:cNvGraphicFramePr/>
      </xdr:nvGraphicFramePr>
      <xdr:xfrm>
        <a:off x="495300" y="19516725"/>
        <a:ext cx="4781550" cy="2752725"/>
      </xdr:xfrm>
      <a:graphic>
        <a:graphicData uri="http://schemas.openxmlformats.org/drawingml/2006/chart">
          <c:chart xmlns:c="http://schemas.openxmlformats.org/drawingml/2006/chart" r:id="rId9"/>
        </a:graphicData>
      </a:graphic>
    </xdr:graphicFrame>
    <xdr:clientData/>
  </xdr:twoCellAnchor>
  <xdr:twoCellAnchor>
    <xdr:from>
      <xdr:col>9</xdr:col>
      <xdr:colOff>38100</xdr:colOff>
      <xdr:row>121</xdr:row>
      <xdr:rowOff>85725</xdr:rowOff>
    </xdr:from>
    <xdr:to>
      <xdr:col>16</xdr:col>
      <xdr:colOff>257175</xdr:colOff>
      <xdr:row>138</xdr:row>
      <xdr:rowOff>95250</xdr:rowOff>
    </xdr:to>
    <xdr:graphicFrame>
      <xdr:nvGraphicFramePr>
        <xdr:cNvPr id="10" name="Chart 22"/>
        <xdr:cNvGraphicFramePr/>
      </xdr:nvGraphicFramePr>
      <xdr:xfrm>
        <a:off x="5724525" y="19545300"/>
        <a:ext cx="4591050" cy="2762250"/>
      </xdr:xfrm>
      <a:graphic>
        <a:graphicData uri="http://schemas.openxmlformats.org/drawingml/2006/chart">
          <c:chart xmlns:c="http://schemas.openxmlformats.org/drawingml/2006/chart" r:id="rId10"/>
        </a:graphicData>
      </a:graphic>
    </xdr:graphicFrame>
    <xdr:clientData/>
  </xdr:twoCellAnchor>
  <xdr:twoCellAnchor>
    <xdr:from>
      <xdr:col>0</xdr:col>
      <xdr:colOff>504825</xdr:colOff>
      <xdr:row>139</xdr:row>
      <xdr:rowOff>85725</xdr:rowOff>
    </xdr:from>
    <xdr:to>
      <xdr:col>8</xdr:col>
      <xdr:colOff>219075</xdr:colOff>
      <xdr:row>156</xdr:row>
      <xdr:rowOff>95250</xdr:rowOff>
    </xdr:to>
    <xdr:graphicFrame>
      <xdr:nvGraphicFramePr>
        <xdr:cNvPr id="11" name="Chart 23"/>
        <xdr:cNvGraphicFramePr/>
      </xdr:nvGraphicFramePr>
      <xdr:xfrm>
        <a:off x="504825" y="22459950"/>
        <a:ext cx="4791075" cy="2762250"/>
      </xdr:xfrm>
      <a:graphic>
        <a:graphicData uri="http://schemas.openxmlformats.org/drawingml/2006/chart">
          <c:chart xmlns:c="http://schemas.openxmlformats.org/drawingml/2006/chart" r:id="rId11"/>
        </a:graphicData>
      </a:graphic>
    </xdr:graphicFrame>
    <xdr:clientData/>
  </xdr:twoCellAnchor>
  <xdr:twoCellAnchor>
    <xdr:from>
      <xdr:col>9</xdr:col>
      <xdr:colOff>476250</xdr:colOff>
      <xdr:row>7</xdr:row>
      <xdr:rowOff>123825</xdr:rowOff>
    </xdr:from>
    <xdr:to>
      <xdr:col>10</xdr:col>
      <xdr:colOff>542925</xdr:colOff>
      <xdr:row>10</xdr:row>
      <xdr:rowOff>76200</xdr:rowOff>
    </xdr:to>
    <xdr:pic>
      <xdr:nvPicPr>
        <xdr:cNvPr id="12" name="Picture 8" descr="logo"/>
        <xdr:cNvPicPr preferRelativeResize="1">
          <a:picLocks noChangeAspect="1"/>
        </xdr:cNvPicPr>
      </xdr:nvPicPr>
      <xdr:blipFill>
        <a:blip r:embed="rId12"/>
        <a:stretch>
          <a:fillRect/>
        </a:stretch>
      </xdr:blipFill>
      <xdr:spPr>
        <a:xfrm>
          <a:off x="6162675" y="1343025"/>
          <a:ext cx="676275" cy="438150"/>
        </a:xfrm>
        <a:prstGeom prst="rect">
          <a:avLst/>
        </a:prstGeom>
        <a:noFill/>
        <a:ln w="9525" cmpd="sng">
          <a:noFill/>
        </a:ln>
      </xdr:spPr>
    </xdr:pic>
    <xdr:clientData/>
  </xdr:twoCellAnchor>
  <xdr:twoCellAnchor>
    <xdr:from>
      <xdr:col>11</xdr:col>
      <xdr:colOff>66675</xdr:colOff>
      <xdr:row>6</xdr:row>
      <xdr:rowOff>19050</xdr:rowOff>
    </xdr:from>
    <xdr:to>
      <xdr:col>11</xdr:col>
      <xdr:colOff>438150</xdr:colOff>
      <xdr:row>9</xdr:row>
      <xdr:rowOff>95250</xdr:rowOff>
    </xdr:to>
    <xdr:pic>
      <xdr:nvPicPr>
        <xdr:cNvPr id="13" name="Picture 9" descr="boven"/>
        <xdr:cNvPicPr preferRelativeResize="1">
          <a:picLocks noChangeAspect="1"/>
        </xdr:cNvPicPr>
      </xdr:nvPicPr>
      <xdr:blipFill>
        <a:blip r:embed="rId13"/>
        <a:stretch>
          <a:fillRect/>
        </a:stretch>
      </xdr:blipFill>
      <xdr:spPr>
        <a:xfrm>
          <a:off x="7077075" y="1076325"/>
          <a:ext cx="371475" cy="561975"/>
        </a:xfrm>
        <a:prstGeom prst="rect">
          <a:avLst/>
        </a:prstGeom>
        <a:noFill/>
        <a:ln w="9525" cmpd="sng">
          <a:noFill/>
        </a:ln>
      </xdr:spPr>
    </xdr:pic>
    <xdr:clientData/>
  </xdr:twoCellAnchor>
  <xdr:twoCellAnchor>
    <xdr:from>
      <xdr:col>11</xdr:col>
      <xdr:colOff>561975</xdr:colOff>
      <xdr:row>5</xdr:row>
      <xdr:rowOff>85725</xdr:rowOff>
    </xdr:from>
    <xdr:to>
      <xdr:col>13</xdr:col>
      <xdr:colOff>161925</xdr:colOff>
      <xdr:row>6</xdr:row>
      <xdr:rowOff>142875</xdr:rowOff>
    </xdr:to>
    <xdr:pic>
      <xdr:nvPicPr>
        <xdr:cNvPr id="14" name="Picture 10" descr="Provincie Overijssel"/>
        <xdr:cNvPicPr preferRelativeResize="1">
          <a:picLocks noChangeAspect="1"/>
        </xdr:cNvPicPr>
      </xdr:nvPicPr>
      <xdr:blipFill>
        <a:blip r:embed="rId14"/>
        <a:stretch>
          <a:fillRect/>
        </a:stretch>
      </xdr:blipFill>
      <xdr:spPr>
        <a:xfrm>
          <a:off x="7572375" y="981075"/>
          <a:ext cx="819150" cy="219075"/>
        </a:xfrm>
        <a:prstGeom prst="rect">
          <a:avLst/>
        </a:prstGeom>
        <a:noFill/>
        <a:ln w="9525" cmpd="sng">
          <a:noFill/>
        </a:ln>
      </xdr:spPr>
    </xdr:pic>
    <xdr:clientData/>
  </xdr:twoCellAnchor>
  <xdr:twoCellAnchor>
    <xdr:from>
      <xdr:col>9</xdr:col>
      <xdr:colOff>466725</xdr:colOff>
      <xdr:row>5</xdr:row>
      <xdr:rowOff>114300</xdr:rowOff>
    </xdr:from>
    <xdr:to>
      <xdr:col>10</xdr:col>
      <xdr:colOff>600075</xdr:colOff>
      <xdr:row>7</xdr:row>
      <xdr:rowOff>95250</xdr:rowOff>
    </xdr:to>
    <xdr:pic>
      <xdr:nvPicPr>
        <xdr:cNvPr id="15" name="Picture 5" descr="ecofys-logo">
          <a:hlinkClick r:id="rId17"/>
        </xdr:cNvPr>
        <xdr:cNvPicPr preferRelativeResize="1">
          <a:picLocks noChangeAspect="1"/>
        </xdr:cNvPicPr>
      </xdr:nvPicPr>
      <xdr:blipFill>
        <a:blip r:embed="rId15"/>
        <a:stretch>
          <a:fillRect/>
        </a:stretch>
      </xdr:blipFill>
      <xdr:spPr>
        <a:xfrm>
          <a:off x="6153150" y="1009650"/>
          <a:ext cx="742950" cy="304800"/>
        </a:xfrm>
        <a:prstGeom prst="rect">
          <a:avLst/>
        </a:prstGeom>
        <a:noFill/>
        <a:ln w="9525" cmpd="sng">
          <a:noFill/>
        </a:ln>
      </xdr:spPr>
    </xdr:pic>
    <xdr:clientData/>
  </xdr:twoCellAnchor>
  <xdr:twoCellAnchor>
    <xdr:from>
      <xdr:col>13</xdr:col>
      <xdr:colOff>276225</xdr:colOff>
      <xdr:row>6</xdr:row>
      <xdr:rowOff>114300</xdr:rowOff>
    </xdr:from>
    <xdr:to>
      <xdr:col>14</xdr:col>
      <xdr:colOff>561975</xdr:colOff>
      <xdr:row>8</xdr:row>
      <xdr:rowOff>104775</xdr:rowOff>
    </xdr:to>
    <xdr:pic>
      <xdr:nvPicPr>
        <xdr:cNvPr id="16" name="Picture 7" descr="Groundwater Technology">
          <a:hlinkClick r:id="rId20"/>
        </xdr:cNvPr>
        <xdr:cNvPicPr preferRelativeResize="1">
          <a:picLocks noChangeAspect="1"/>
        </xdr:cNvPicPr>
      </xdr:nvPicPr>
      <xdr:blipFill>
        <a:blip r:embed="rId18"/>
        <a:stretch>
          <a:fillRect/>
        </a:stretch>
      </xdr:blipFill>
      <xdr:spPr>
        <a:xfrm>
          <a:off x="8505825" y="1171575"/>
          <a:ext cx="895350" cy="314325"/>
        </a:xfrm>
        <a:prstGeom prst="rect">
          <a:avLst/>
        </a:prstGeom>
        <a:noFill/>
        <a:ln w="9525" cmpd="sng">
          <a:noFill/>
        </a:ln>
      </xdr:spPr>
    </xdr:pic>
    <xdr:clientData/>
  </xdr:twoCellAnchor>
  <xdr:twoCellAnchor>
    <xdr:from>
      <xdr:col>12</xdr:col>
      <xdr:colOff>47625</xdr:colOff>
      <xdr:row>7</xdr:row>
      <xdr:rowOff>57150</xdr:rowOff>
    </xdr:from>
    <xdr:to>
      <xdr:col>13</xdr:col>
      <xdr:colOff>161925</xdr:colOff>
      <xdr:row>10</xdr:row>
      <xdr:rowOff>28575</xdr:rowOff>
    </xdr:to>
    <xdr:pic>
      <xdr:nvPicPr>
        <xdr:cNvPr id="17" name="Picture 6" descr="Heijmansnieuw_350"/>
        <xdr:cNvPicPr preferRelativeResize="1">
          <a:picLocks noChangeAspect="1"/>
        </xdr:cNvPicPr>
      </xdr:nvPicPr>
      <xdr:blipFill>
        <a:blip r:embed="rId21"/>
        <a:stretch>
          <a:fillRect/>
        </a:stretch>
      </xdr:blipFill>
      <xdr:spPr>
        <a:xfrm>
          <a:off x="7667625" y="1276350"/>
          <a:ext cx="723900" cy="457200"/>
        </a:xfrm>
        <a:prstGeom prst="rect">
          <a:avLst/>
        </a:prstGeom>
        <a:noFill/>
        <a:ln w="9525" cmpd="sng">
          <a:noFill/>
        </a:ln>
      </xdr:spPr>
    </xdr:pic>
    <xdr:clientData/>
  </xdr:twoCellAnchor>
  <xdr:twoCellAnchor editAs="oneCell">
    <xdr:from>
      <xdr:col>0</xdr:col>
      <xdr:colOff>371475</xdr:colOff>
      <xdr:row>0</xdr:row>
      <xdr:rowOff>219075</xdr:rowOff>
    </xdr:from>
    <xdr:to>
      <xdr:col>2</xdr:col>
      <xdr:colOff>590550</xdr:colOff>
      <xdr:row>3</xdr:row>
      <xdr:rowOff>76200</xdr:rowOff>
    </xdr:to>
    <xdr:pic>
      <xdr:nvPicPr>
        <xdr:cNvPr id="18" name="Picture 2" descr="LOGO gekleurd bmp"/>
        <xdr:cNvPicPr preferRelativeResize="1">
          <a:picLocks noChangeAspect="1"/>
        </xdr:cNvPicPr>
      </xdr:nvPicPr>
      <xdr:blipFill>
        <a:blip r:embed="rId22"/>
        <a:stretch>
          <a:fillRect/>
        </a:stretch>
      </xdr:blipFill>
      <xdr:spPr>
        <a:xfrm>
          <a:off x="371475" y="219075"/>
          <a:ext cx="14382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S55" sqref="S55"/>
    </sheetView>
  </sheetViews>
  <sheetFormatPr defaultColWidth="9.140625" defaultRowHeight="12.75"/>
  <cols>
    <col min="1" max="16384" width="9.140625" style="10" customWidth="1"/>
  </cols>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dimension ref="A1:BE973"/>
  <sheetViews>
    <sheetView showGridLines="0" showOutlineSymbols="0" zoomScalePageLayoutView="0" workbookViewId="0" topLeftCell="A1">
      <pane ySplit="11" topLeftCell="A12" activePane="bottomLeft" state="frozen"/>
      <selection pane="topLeft" activeCell="A1" sqref="A1"/>
      <selection pane="bottomLeft" activeCell="K2" sqref="K2"/>
    </sheetView>
  </sheetViews>
  <sheetFormatPr defaultColWidth="9.140625" defaultRowHeight="12.75" outlineLevelRow="2" outlineLevelCol="1"/>
  <cols>
    <col min="1" max="4" width="9.140625" style="54" customWidth="1"/>
    <col min="5" max="5" width="12.140625" style="54" bestFit="1" customWidth="1"/>
    <col min="6" max="7" width="9.140625" style="54" customWidth="1"/>
    <col min="8" max="8" width="10.421875" style="54" bestFit="1" customWidth="1"/>
    <col min="9" max="19" width="9.140625" style="54" customWidth="1"/>
    <col min="20" max="56" width="9.140625" style="54" customWidth="1" outlineLevel="1"/>
    <col min="57" max="57" width="9.140625" style="54" customWidth="1" collapsed="1"/>
    <col min="58" max="16384" width="9.140625" style="54" customWidth="1"/>
  </cols>
  <sheetData>
    <row r="1" spans="1:55" ht="19.5">
      <c r="A1" s="49"/>
      <c r="B1" s="50"/>
      <c r="C1" s="50"/>
      <c r="D1" s="50"/>
      <c r="E1" s="51" t="s">
        <v>1</v>
      </c>
      <c r="F1" s="50"/>
      <c r="G1" s="50"/>
      <c r="H1" s="50"/>
      <c r="I1" s="50"/>
      <c r="J1" s="52" t="s">
        <v>0</v>
      </c>
      <c r="K1" s="53" t="s">
        <v>816</v>
      </c>
      <c r="L1" s="50"/>
      <c r="M1" s="50"/>
      <c r="N1" s="50"/>
      <c r="O1" s="50"/>
      <c r="BC1" s="54" t="s">
        <v>721</v>
      </c>
    </row>
    <row r="2" spans="1:56" ht="12.75">
      <c r="A2" s="49"/>
      <c r="B2" s="49"/>
      <c r="C2" s="49"/>
      <c r="D2" s="49"/>
      <c r="E2" s="55"/>
      <c r="F2" s="49"/>
      <c r="G2" s="49"/>
      <c r="H2" s="49"/>
      <c r="I2" s="49"/>
      <c r="J2" s="49"/>
      <c r="K2" s="49"/>
      <c r="L2" s="49"/>
      <c r="M2" s="49"/>
      <c r="N2" s="49"/>
      <c r="O2" s="49"/>
      <c r="T2" s="56" t="s">
        <v>17</v>
      </c>
      <c r="AX2" s="72" t="s">
        <v>565</v>
      </c>
      <c r="BA2" s="73" t="str">
        <f>IF($C$665="Ja"," ","Grijze stroom")</f>
        <v>Grijze stroom</v>
      </c>
      <c r="BB2" s="111"/>
      <c r="BC2" s="111"/>
      <c r="BD2" s="94"/>
    </row>
    <row r="3" spans="1:56" ht="12.75">
      <c r="A3" s="49"/>
      <c r="B3" s="49"/>
      <c r="C3" s="49"/>
      <c r="D3" s="49"/>
      <c r="E3" s="57" t="s">
        <v>10</v>
      </c>
      <c r="F3" s="49"/>
      <c r="G3" s="49"/>
      <c r="H3" s="49"/>
      <c r="I3" s="49"/>
      <c r="J3" s="49"/>
      <c r="K3" s="49"/>
      <c r="L3" s="49"/>
      <c r="M3" s="49"/>
      <c r="N3" s="49"/>
      <c r="O3" s="49"/>
      <c r="AG3" s="58" t="s">
        <v>260</v>
      </c>
      <c r="AJ3" s="54" t="s">
        <v>53</v>
      </c>
      <c r="AM3" s="58" t="s">
        <v>339</v>
      </c>
      <c r="AR3" s="58" t="s">
        <v>472</v>
      </c>
      <c r="AT3" s="54" t="s">
        <v>476</v>
      </c>
      <c r="AZ3" s="73"/>
      <c r="BA3" s="73" t="str">
        <f>IF($C$665="Ja"," ","Groene stroom")</f>
        <v>Groene stroom</v>
      </c>
      <c r="BB3" s="111"/>
      <c r="BC3" s="111"/>
      <c r="BD3" s="94">
        <v>2.4</v>
      </c>
    </row>
    <row r="4" spans="1:56" ht="12.75">
      <c r="A4" s="49"/>
      <c r="B4" s="49"/>
      <c r="C4" s="49"/>
      <c r="D4" s="49"/>
      <c r="E4" s="60" t="s">
        <v>754</v>
      </c>
      <c r="F4" s="49"/>
      <c r="G4" s="49"/>
      <c r="H4" s="49"/>
      <c r="I4" s="49"/>
      <c r="J4" s="49"/>
      <c r="K4" s="49"/>
      <c r="L4" s="49"/>
      <c r="M4" s="49"/>
      <c r="N4" s="49"/>
      <c r="O4" s="49"/>
      <c r="T4" s="58" t="s">
        <v>262</v>
      </c>
      <c r="W4" s="54" t="s">
        <v>263</v>
      </c>
      <c r="AA4" s="58" t="s">
        <v>285</v>
      </c>
      <c r="AD4" s="54" t="s">
        <v>55</v>
      </c>
      <c r="AJ4" s="54" t="s">
        <v>55</v>
      </c>
      <c r="AO4" s="59"/>
      <c r="AT4" s="54" t="s">
        <v>475</v>
      </c>
      <c r="AZ4" s="73"/>
      <c r="BA4" s="73" t="str">
        <f>IF($C$665="Ja"," ","Directe windenergie")</f>
        <v>Directe windenergie</v>
      </c>
      <c r="BB4" s="111"/>
      <c r="BC4" s="111"/>
      <c r="BD4" s="45">
        <v>6</v>
      </c>
    </row>
    <row r="5" spans="1:56" ht="12.75">
      <c r="A5" s="49"/>
      <c r="B5" s="49"/>
      <c r="C5" s="49"/>
      <c r="D5" s="49"/>
      <c r="E5" s="60" t="s">
        <v>13</v>
      </c>
      <c r="F5" s="49"/>
      <c r="G5" s="49"/>
      <c r="H5" s="49"/>
      <c r="I5" s="49"/>
      <c r="J5" s="49"/>
      <c r="K5" s="49"/>
      <c r="L5" s="49"/>
      <c r="M5" s="49"/>
      <c r="N5" s="49"/>
      <c r="O5" s="49"/>
      <c r="W5" s="54" t="s">
        <v>264</v>
      </c>
      <c r="AD5" s="54" t="s">
        <v>57</v>
      </c>
      <c r="AJ5" s="54" t="s">
        <v>56</v>
      </c>
      <c r="AO5" s="59" t="s">
        <v>340</v>
      </c>
      <c r="AT5" s="54" t="s">
        <v>474</v>
      </c>
      <c r="AV5" s="58" t="s">
        <v>680</v>
      </c>
      <c r="AX5" s="71"/>
      <c r="AY5" s="71"/>
      <c r="AZ5" s="76"/>
      <c r="BA5" s="73" t="str">
        <f>IF($C$665="Ja"," ","Directe zonne-energie")</f>
        <v>Directe zonne-energie</v>
      </c>
      <c r="BB5" s="111"/>
      <c r="BC5" s="111"/>
      <c r="BD5" s="45">
        <v>8</v>
      </c>
    </row>
    <row r="6" spans="1:56" ht="12.75">
      <c r="A6" s="49"/>
      <c r="B6" s="49"/>
      <c r="C6" s="49"/>
      <c r="D6" s="49"/>
      <c r="E6" s="60"/>
      <c r="F6" s="49"/>
      <c r="G6" s="49"/>
      <c r="H6" s="49"/>
      <c r="I6" s="49"/>
      <c r="J6" s="49"/>
      <c r="K6" s="49"/>
      <c r="L6" s="49"/>
      <c r="M6" s="49"/>
      <c r="N6" s="49"/>
      <c r="O6" s="49"/>
      <c r="AD6" s="54" t="s">
        <v>58</v>
      </c>
      <c r="AJ6" s="54" t="s">
        <v>60</v>
      </c>
      <c r="AO6" s="59" t="s">
        <v>341</v>
      </c>
      <c r="AT6" s="54" t="s">
        <v>473</v>
      </c>
      <c r="AW6" s="54" t="s">
        <v>681</v>
      </c>
      <c r="AZ6" s="73"/>
      <c r="BA6" s="73" t="str">
        <f>IF($C$665="Ja"," ","Directe waterkracht")</f>
        <v>Directe waterkracht</v>
      </c>
      <c r="BB6" s="111"/>
      <c r="BC6" s="111"/>
      <c r="BD6" s="45">
        <v>12</v>
      </c>
    </row>
    <row r="7" spans="1:56" ht="12.75">
      <c r="A7" s="49"/>
      <c r="B7" s="49"/>
      <c r="C7" s="61" t="s">
        <v>2</v>
      </c>
      <c r="D7" s="49"/>
      <c r="E7" s="137" t="s">
        <v>3</v>
      </c>
      <c r="F7" s="269"/>
      <c r="G7" s="269"/>
      <c r="H7" s="269"/>
      <c r="I7" s="269"/>
      <c r="J7" s="49"/>
      <c r="K7" s="49"/>
      <c r="L7" s="49"/>
      <c r="M7" s="49"/>
      <c r="N7" s="49"/>
      <c r="O7" s="49"/>
      <c r="W7" s="54" t="s">
        <v>265</v>
      </c>
      <c r="AO7" s="59" t="s">
        <v>342</v>
      </c>
      <c r="AW7" s="54" t="s">
        <v>682</v>
      </c>
      <c r="AX7" s="71"/>
      <c r="AY7" s="71"/>
      <c r="AZ7" s="76"/>
      <c r="BA7" s="73" t="str">
        <f>IF($C$665="Ja"," ","Directe biomassa")</f>
        <v>Directe biomassa</v>
      </c>
      <c r="BB7" s="111"/>
      <c r="BC7" s="111"/>
      <c r="BD7" s="45">
        <v>13.1</v>
      </c>
    </row>
    <row r="8" spans="1:56" ht="12.75">
      <c r="A8" s="49"/>
      <c r="B8" s="49"/>
      <c r="C8" s="61" t="s">
        <v>4</v>
      </c>
      <c r="D8" s="49"/>
      <c r="E8" s="138" t="s">
        <v>5</v>
      </c>
      <c r="F8" s="270"/>
      <c r="G8" s="270"/>
      <c r="H8" s="270"/>
      <c r="I8" s="270"/>
      <c r="J8" s="49"/>
      <c r="K8" s="49"/>
      <c r="L8" s="49"/>
      <c r="M8" s="49"/>
      <c r="N8" s="49"/>
      <c r="O8" s="49"/>
      <c r="AD8" s="54" t="s">
        <v>265</v>
      </c>
      <c r="AJ8" s="54" t="s">
        <v>265</v>
      </c>
      <c r="AO8" s="59" t="s">
        <v>343</v>
      </c>
      <c r="AT8" s="54" t="s">
        <v>265</v>
      </c>
      <c r="BA8" s="73" t="str">
        <f>IF(C665="Nee"," ","Dieselaggregraat")</f>
        <v>Dieselaggregraat</v>
      </c>
      <c r="BB8" s="111"/>
      <c r="BC8" s="111"/>
      <c r="BD8" s="45">
        <v>48</v>
      </c>
    </row>
    <row r="9" spans="1:56" ht="12.75">
      <c r="A9" s="49"/>
      <c r="B9" s="49"/>
      <c r="C9" s="61" t="s">
        <v>6</v>
      </c>
      <c r="D9" s="49"/>
      <c r="E9" s="139" t="s">
        <v>7</v>
      </c>
      <c r="F9" s="270"/>
      <c r="G9" s="270"/>
      <c r="H9" s="270"/>
      <c r="I9" s="270"/>
      <c r="J9" s="49"/>
      <c r="K9" s="49"/>
      <c r="L9" s="49"/>
      <c r="M9" s="49"/>
      <c r="N9" s="49"/>
      <c r="O9" s="49"/>
      <c r="T9" s="58" t="s">
        <v>309</v>
      </c>
      <c r="W9" s="54" t="s">
        <v>15</v>
      </c>
      <c r="AO9" s="59" t="s">
        <v>344</v>
      </c>
      <c r="AW9" s="54" t="s">
        <v>265</v>
      </c>
      <c r="BA9" s="111"/>
      <c r="BB9" s="111"/>
      <c r="BC9" s="111"/>
      <c r="BD9" s="45">
        <v>80</v>
      </c>
    </row>
    <row r="10" spans="1:56" ht="12.75">
      <c r="A10" s="49"/>
      <c r="B10" s="65"/>
      <c r="C10" s="61" t="s">
        <v>8</v>
      </c>
      <c r="D10" s="49"/>
      <c r="E10" s="138" t="s">
        <v>9</v>
      </c>
      <c r="F10" s="270"/>
      <c r="G10" s="270"/>
      <c r="H10" s="270"/>
      <c r="I10" s="270"/>
      <c r="J10" s="65"/>
      <c r="K10" s="65"/>
      <c r="L10" s="65"/>
      <c r="M10" s="65"/>
      <c r="N10" s="65"/>
      <c r="O10" s="65"/>
      <c r="W10" s="54" t="s">
        <v>16</v>
      </c>
      <c r="AA10" s="58" t="s">
        <v>310</v>
      </c>
      <c r="AD10" s="54" t="s">
        <v>109</v>
      </c>
      <c r="AG10" s="58" t="s">
        <v>317</v>
      </c>
      <c r="AJ10" s="54" t="s">
        <v>318</v>
      </c>
      <c r="AO10" s="59" t="s">
        <v>345</v>
      </c>
      <c r="AX10" s="69"/>
      <c r="AY10" s="69"/>
      <c r="AZ10" s="69"/>
      <c r="BA10" s="111" t="s">
        <v>265</v>
      </c>
      <c r="BB10" s="111"/>
      <c r="BC10" s="111"/>
      <c r="BD10" s="111"/>
    </row>
    <row r="11" spans="1:56" s="130" customFormat="1" ht="13.5" thickBot="1">
      <c r="A11" s="127"/>
      <c r="B11" s="127"/>
      <c r="C11" s="128"/>
      <c r="D11" s="127"/>
      <c r="E11" s="129"/>
      <c r="F11" s="127"/>
      <c r="G11" s="127"/>
      <c r="H11" s="127"/>
      <c r="I11" s="127"/>
      <c r="J11" s="127"/>
      <c r="K11" s="127"/>
      <c r="L11" s="127"/>
      <c r="M11" s="127"/>
      <c r="N11" s="127"/>
      <c r="O11" s="127"/>
      <c r="AD11" s="130" t="s">
        <v>111</v>
      </c>
      <c r="AJ11" s="130" t="s">
        <v>319</v>
      </c>
      <c r="AO11" s="132" t="s">
        <v>346</v>
      </c>
      <c r="BD11" s="278" t="s">
        <v>265</v>
      </c>
    </row>
    <row r="12" spans="1:36" ht="14.25" customHeight="1">
      <c r="A12" s="65"/>
      <c r="B12" s="173"/>
      <c r="C12" s="174"/>
      <c r="D12" s="173"/>
      <c r="E12" s="175"/>
      <c r="F12" s="173"/>
      <c r="G12" s="173"/>
      <c r="H12" s="173"/>
      <c r="I12" s="173"/>
      <c r="J12" s="173"/>
      <c r="K12" s="173"/>
      <c r="L12" s="173"/>
      <c r="M12" s="173"/>
      <c r="N12" s="173"/>
      <c r="O12" s="173"/>
      <c r="P12" s="176"/>
      <c r="Q12" s="177"/>
      <c r="R12" s="177"/>
      <c r="W12" s="54" t="s">
        <v>265</v>
      </c>
      <c r="AJ12" s="54" t="s">
        <v>320</v>
      </c>
    </row>
    <row r="13" spans="1:53" ht="18">
      <c r="A13" s="65"/>
      <c r="B13" s="178" t="s">
        <v>623</v>
      </c>
      <c r="C13" s="174"/>
      <c r="D13" s="173"/>
      <c r="E13" s="175"/>
      <c r="F13" s="173"/>
      <c r="G13" s="173"/>
      <c r="H13" s="173"/>
      <c r="I13" s="173"/>
      <c r="J13" s="173"/>
      <c r="K13" s="173"/>
      <c r="L13" s="173"/>
      <c r="M13" s="173"/>
      <c r="N13" s="173"/>
      <c r="O13" s="173"/>
      <c r="P13" s="176"/>
      <c r="Q13" s="177"/>
      <c r="R13" s="177"/>
      <c r="AD13" s="54" t="s">
        <v>265</v>
      </c>
      <c r="AJ13" s="54" t="s">
        <v>321</v>
      </c>
      <c r="AO13" s="54" t="s">
        <v>265</v>
      </c>
      <c r="AX13" s="58" t="s">
        <v>151</v>
      </c>
      <c r="BA13" s="69" t="s">
        <v>353</v>
      </c>
    </row>
    <row r="14" spans="1:53" ht="12.75">
      <c r="A14" s="65"/>
      <c r="B14" s="173"/>
      <c r="C14" s="174"/>
      <c r="D14" s="173"/>
      <c r="E14" s="175"/>
      <c r="F14" s="173"/>
      <c r="G14" s="173"/>
      <c r="H14" s="173"/>
      <c r="I14" s="173"/>
      <c r="J14" s="173"/>
      <c r="K14" s="173"/>
      <c r="L14" s="173"/>
      <c r="M14" s="173"/>
      <c r="N14" s="173"/>
      <c r="O14" s="173"/>
      <c r="P14" s="176"/>
      <c r="Q14" s="177"/>
      <c r="R14" s="177"/>
      <c r="T14" s="58" t="s">
        <v>273</v>
      </c>
      <c r="W14" s="54" t="s">
        <v>274</v>
      </c>
      <c r="AJ14" s="69" t="s">
        <v>466</v>
      </c>
      <c r="BA14" s="69" t="s">
        <v>354</v>
      </c>
    </row>
    <row r="15" spans="1:57" s="69" customFormat="1" ht="12.75">
      <c r="A15" s="67"/>
      <c r="B15" s="179"/>
      <c r="C15" s="180" t="s">
        <v>268</v>
      </c>
      <c r="D15" s="181"/>
      <c r="E15" s="181"/>
      <c r="F15" s="181"/>
      <c r="G15" s="181"/>
      <c r="H15" s="181"/>
      <c r="I15" s="181"/>
      <c r="J15" s="181"/>
      <c r="K15" s="181"/>
      <c r="L15" s="181"/>
      <c r="M15" s="181"/>
      <c r="N15" s="181"/>
      <c r="O15" s="181"/>
      <c r="P15" s="182"/>
      <c r="Q15" s="183"/>
      <c r="R15" s="183"/>
      <c r="T15" s="54"/>
      <c r="U15" s="54"/>
      <c r="V15" s="54"/>
      <c r="W15" s="54" t="s">
        <v>275</v>
      </c>
      <c r="X15" s="54"/>
      <c r="Y15" s="54"/>
      <c r="AA15" s="58" t="s">
        <v>311</v>
      </c>
      <c r="AB15" s="54"/>
      <c r="AC15" s="54"/>
      <c r="AD15" s="54" t="s">
        <v>15</v>
      </c>
      <c r="AJ15" s="71"/>
      <c r="BA15" s="69" t="s">
        <v>355</v>
      </c>
      <c r="BE15" s="54"/>
    </row>
    <row r="16" spans="1:53" s="71" customFormat="1" ht="6.75">
      <c r="A16" s="70"/>
      <c r="B16" s="184"/>
      <c r="C16" s="185"/>
      <c r="D16" s="184"/>
      <c r="E16" s="184"/>
      <c r="F16" s="184"/>
      <c r="G16" s="184"/>
      <c r="H16" s="184"/>
      <c r="I16" s="184"/>
      <c r="J16" s="184"/>
      <c r="K16" s="184"/>
      <c r="L16" s="184"/>
      <c r="M16" s="184"/>
      <c r="N16" s="184"/>
      <c r="O16" s="184"/>
      <c r="P16" s="186"/>
      <c r="Q16" s="187"/>
      <c r="R16" s="187"/>
      <c r="AD16" s="71" t="s">
        <v>23</v>
      </c>
      <c r="AJ16" s="71" t="s">
        <v>265</v>
      </c>
      <c r="BA16" s="71" t="s">
        <v>356</v>
      </c>
    </row>
    <row r="17" spans="1:57" s="69" customFormat="1" ht="12.75">
      <c r="A17" s="67"/>
      <c r="B17" s="179"/>
      <c r="C17" s="140"/>
      <c r="D17" s="188" t="s">
        <v>407</v>
      </c>
      <c r="E17" s="181"/>
      <c r="F17" s="181"/>
      <c r="G17" s="181"/>
      <c r="H17" s="181"/>
      <c r="I17" s="181"/>
      <c r="J17" s="181"/>
      <c r="K17" s="181"/>
      <c r="L17" s="181"/>
      <c r="M17" s="181"/>
      <c r="N17" s="181"/>
      <c r="O17" s="181"/>
      <c r="P17" s="182"/>
      <c r="Q17" s="183"/>
      <c r="R17" s="183"/>
      <c r="T17" s="54"/>
      <c r="U17" s="54"/>
      <c r="V17" s="54"/>
      <c r="W17" s="54" t="s">
        <v>265</v>
      </c>
      <c r="X17" s="54"/>
      <c r="Y17" s="54"/>
      <c r="AA17" s="54"/>
      <c r="AB17" s="54"/>
      <c r="AC17" s="54"/>
      <c r="AD17" s="54" t="s">
        <v>25</v>
      </c>
      <c r="BA17" s="69" t="s">
        <v>630</v>
      </c>
      <c r="BE17" s="54"/>
    </row>
    <row r="18" spans="1:53" s="71" customFormat="1" ht="6.75">
      <c r="A18" s="70"/>
      <c r="B18" s="184"/>
      <c r="C18" s="185"/>
      <c r="D18" s="184"/>
      <c r="E18" s="184"/>
      <c r="F18" s="184"/>
      <c r="G18" s="184"/>
      <c r="H18" s="184"/>
      <c r="I18" s="184"/>
      <c r="J18" s="184"/>
      <c r="K18" s="184"/>
      <c r="L18" s="184"/>
      <c r="M18" s="184"/>
      <c r="N18" s="184"/>
      <c r="O18" s="184"/>
      <c r="P18" s="186"/>
      <c r="Q18" s="187"/>
      <c r="R18" s="187"/>
      <c r="BA18" s="71" t="s">
        <v>631</v>
      </c>
    </row>
    <row r="19" spans="1:57" s="69" customFormat="1" ht="12.75">
      <c r="A19" s="67"/>
      <c r="B19" s="179"/>
      <c r="C19" s="140"/>
      <c r="D19" s="188" t="s">
        <v>774</v>
      </c>
      <c r="E19" s="181"/>
      <c r="F19" s="181"/>
      <c r="G19" s="181"/>
      <c r="H19" s="181"/>
      <c r="I19" s="181"/>
      <c r="J19" s="181"/>
      <c r="K19" s="181"/>
      <c r="L19" s="181"/>
      <c r="M19" s="181"/>
      <c r="N19" s="181"/>
      <c r="O19" s="181"/>
      <c r="P19" s="182"/>
      <c r="Q19" s="183"/>
      <c r="R19" s="183"/>
      <c r="T19" s="72" t="s">
        <v>312</v>
      </c>
      <c r="U19" s="54"/>
      <c r="V19" s="54"/>
      <c r="W19" s="73" t="s">
        <v>760</v>
      </c>
      <c r="X19" s="54"/>
      <c r="Y19" s="54"/>
      <c r="AD19" s="69" t="s">
        <v>16</v>
      </c>
      <c r="AG19" s="72" t="s">
        <v>350</v>
      </c>
      <c r="AH19" s="54"/>
      <c r="AI19" s="54"/>
      <c r="AJ19" s="73" t="str">
        <f>IF($C$237="Ja"," ","Grijze stroom")</f>
        <v>Grijze stroom</v>
      </c>
      <c r="AK19" s="54"/>
      <c r="AM19" s="58" t="s">
        <v>352</v>
      </c>
      <c r="AO19" s="69" t="s">
        <v>494</v>
      </c>
      <c r="AR19" s="72" t="s">
        <v>555</v>
      </c>
      <c r="AS19" s="54"/>
      <c r="AT19" s="54"/>
      <c r="AU19" s="73" t="str">
        <f>IF($C$595="Ja"," ","Grijze stroom")</f>
        <v>Grijze stroom</v>
      </c>
      <c r="AV19" s="54"/>
      <c r="BE19" s="54"/>
    </row>
    <row r="20" spans="1:57" s="75" customFormat="1" ht="12.75">
      <c r="A20" s="74"/>
      <c r="B20" s="189"/>
      <c r="C20" s="190"/>
      <c r="D20" s="189"/>
      <c r="E20" s="189"/>
      <c r="F20" s="189"/>
      <c r="G20" s="189"/>
      <c r="H20" s="189"/>
      <c r="I20" s="189"/>
      <c r="J20" s="189"/>
      <c r="K20" s="189"/>
      <c r="L20" s="189"/>
      <c r="M20" s="189"/>
      <c r="N20" s="189"/>
      <c r="O20" s="189"/>
      <c r="P20" s="191"/>
      <c r="Q20" s="192"/>
      <c r="R20" s="192"/>
      <c r="T20" s="54"/>
      <c r="U20" s="54"/>
      <c r="V20" s="73"/>
      <c r="W20" s="73" t="s">
        <v>40</v>
      </c>
      <c r="X20" s="54"/>
      <c r="Y20" s="54"/>
      <c r="AG20" s="54"/>
      <c r="AH20" s="54"/>
      <c r="AI20" s="73"/>
      <c r="AJ20" s="73" t="str">
        <f>IF($C$237="Ja"," ","Groene stroom")</f>
        <v>Groene stroom</v>
      </c>
      <c r="AK20" s="54"/>
      <c r="AO20" s="69" t="s">
        <v>354</v>
      </c>
      <c r="AR20" s="54"/>
      <c r="AS20" s="54"/>
      <c r="AT20" s="73"/>
      <c r="AU20" s="73" t="str">
        <f>IF($C$595="Ja"," ","Groene stroom")</f>
        <v>Groene stroom</v>
      </c>
      <c r="AV20" s="54"/>
      <c r="BA20" s="78" t="s">
        <v>265</v>
      </c>
      <c r="BE20" s="66"/>
    </row>
    <row r="21" spans="1:57" s="69" customFormat="1" ht="12.75">
      <c r="A21" s="67"/>
      <c r="B21" s="179"/>
      <c r="C21" s="180" t="s">
        <v>617</v>
      </c>
      <c r="D21" s="188"/>
      <c r="E21" s="183"/>
      <c r="F21" s="183"/>
      <c r="G21" s="181"/>
      <c r="H21" s="181"/>
      <c r="I21" s="181"/>
      <c r="J21" s="181"/>
      <c r="K21" s="181"/>
      <c r="L21" s="181"/>
      <c r="M21" s="181"/>
      <c r="N21" s="181"/>
      <c r="O21" s="181"/>
      <c r="P21" s="182"/>
      <c r="Q21" s="183"/>
      <c r="R21" s="183"/>
      <c r="T21" s="54"/>
      <c r="U21" s="54"/>
      <c r="V21" s="73"/>
      <c r="W21" s="73" t="s">
        <v>41</v>
      </c>
      <c r="X21" s="54"/>
      <c r="Y21" s="54"/>
      <c r="AD21" s="54" t="s">
        <v>265</v>
      </c>
      <c r="AG21" s="54"/>
      <c r="AH21" s="54"/>
      <c r="AI21" s="73"/>
      <c r="AJ21" s="73" t="str">
        <f>IF($C$237="Ja"," ","Directe windenergie")</f>
        <v>Directe windenergie</v>
      </c>
      <c r="AK21" s="54"/>
      <c r="AO21" s="69" t="s">
        <v>355</v>
      </c>
      <c r="AR21" s="54"/>
      <c r="AS21" s="54"/>
      <c r="AT21" s="73"/>
      <c r="AU21" s="73" t="str">
        <f>IF($C$595="Ja"," ","Directe windenergie")</f>
        <v>Directe windenergie</v>
      </c>
      <c r="AV21" s="54"/>
      <c r="BE21" s="54"/>
    </row>
    <row r="22" spans="1:47" s="71" customFormat="1" ht="6.75">
      <c r="A22" s="70"/>
      <c r="B22" s="184"/>
      <c r="C22" s="185"/>
      <c r="D22" s="194"/>
      <c r="E22" s="187"/>
      <c r="F22" s="187"/>
      <c r="G22" s="184"/>
      <c r="H22" s="184"/>
      <c r="I22" s="184"/>
      <c r="J22" s="184"/>
      <c r="K22" s="184"/>
      <c r="L22" s="184"/>
      <c r="M22" s="184"/>
      <c r="N22" s="184"/>
      <c r="O22" s="184"/>
      <c r="P22" s="186"/>
      <c r="Q22" s="187"/>
      <c r="R22" s="187"/>
      <c r="V22" s="76"/>
      <c r="W22" s="76" t="s">
        <v>42</v>
      </c>
      <c r="AI22" s="76"/>
      <c r="AJ22" s="76" t="str">
        <f>IF($C$237="Ja"," ","Directe zonne-energie")</f>
        <v>Directe zonne-energie</v>
      </c>
      <c r="AO22" s="71" t="s">
        <v>356</v>
      </c>
      <c r="AT22" s="76"/>
      <c r="AU22" s="76" t="str">
        <f>IF($C$595="Ja"," ","Directe zonne-energie")</f>
        <v>Directe zonne-energie</v>
      </c>
    </row>
    <row r="23" spans="1:57" s="69" customFormat="1" ht="12.75">
      <c r="A23" s="68"/>
      <c r="B23" s="181"/>
      <c r="C23" s="140"/>
      <c r="D23" s="188" t="s">
        <v>618</v>
      </c>
      <c r="E23" s="183"/>
      <c r="F23" s="183"/>
      <c r="G23" s="181"/>
      <c r="H23" s="181"/>
      <c r="I23" s="181"/>
      <c r="J23" s="181"/>
      <c r="K23" s="181"/>
      <c r="L23" s="181"/>
      <c r="M23" s="181"/>
      <c r="N23" s="181"/>
      <c r="O23" s="181"/>
      <c r="P23" s="182"/>
      <c r="Q23" s="183"/>
      <c r="R23" s="183"/>
      <c r="T23" s="54"/>
      <c r="U23" s="54"/>
      <c r="V23" s="73"/>
      <c r="W23" s="73" t="s">
        <v>43</v>
      </c>
      <c r="X23" s="54"/>
      <c r="Y23" s="54"/>
      <c r="AG23" s="54"/>
      <c r="AH23" s="54"/>
      <c r="AI23" s="73"/>
      <c r="AJ23" s="73" t="str">
        <f>IF($C$237="Ja"," ","Directe waterkracht")</f>
        <v>Directe waterkracht</v>
      </c>
      <c r="AK23" s="54"/>
      <c r="AR23" s="54"/>
      <c r="AS23" s="54"/>
      <c r="AT23" s="73"/>
      <c r="AU23" s="73" t="str">
        <f>IF($C$595="Ja"," ","Directe waterkracht")</f>
        <v>Directe waterkracht</v>
      </c>
      <c r="AV23" s="54"/>
      <c r="BE23" s="54"/>
    </row>
    <row r="24" spans="1:47" s="71" customFormat="1" ht="6.75">
      <c r="A24" s="70"/>
      <c r="B24" s="184"/>
      <c r="C24" s="157"/>
      <c r="D24" s="194"/>
      <c r="E24" s="187"/>
      <c r="F24" s="187"/>
      <c r="G24" s="184"/>
      <c r="H24" s="184"/>
      <c r="I24" s="184"/>
      <c r="J24" s="184"/>
      <c r="K24" s="184"/>
      <c r="L24" s="184"/>
      <c r="M24" s="184"/>
      <c r="N24" s="184"/>
      <c r="O24" s="184"/>
      <c r="P24" s="186"/>
      <c r="Q24" s="187"/>
      <c r="R24" s="187"/>
      <c r="V24" s="76"/>
      <c r="W24" s="76" t="s">
        <v>44</v>
      </c>
      <c r="AI24" s="76"/>
      <c r="AJ24" s="76" t="str">
        <f>IF($C$237="Ja"," ","Directe biomassa")</f>
        <v>Directe biomassa</v>
      </c>
      <c r="AO24" s="71" t="s">
        <v>265</v>
      </c>
      <c r="AT24" s="76"/>
      <c r="AU24" s="76" t="str">
        <f>IF($C$595="Ja"," ","Directe biomassa")</f>
        <v>Directe biomassa</v>
      </c>
    </row>
    <row r="25" spans="1:57" s="69" customFormat="1" ht="12.75">
      <c r="A25" s="68"/>
      <c r="B25" s="181"/>
      <c r="C25" s="140"/>
      <c r="D25" s="188" t="s">
        <v>619</v>
      </c>
      <c r="E25" s="183"/>
      <c r="F25" s="183"/>
      <c r="G25" s="181"/>
      <c r="H25" s="181"/>
      <c r="I25" s="181"/>
      <c r="J25" s="181"/>
      <c r="K25" s="181"/>
      <c r="L25" s="181"/>
      <c r="M25" s="181"/>
      <c r="N25" s="181"/>
      <c r="O25" s="181"/>
      <c r="P25" s="182"/>
      <c r="Q25" s="183"/>
      <c r="R25" s="183"/>
      <c r="T25" s="54"/>
      <c r="U25" s="54"/>
      <c r="V25" s="54"/>
      <c r="W25" s="73"/>
      <c r="X25" s="54"/>
      <c r="Y25" s="54"/>
      <c r="AG25" s="54"/>
      <c r="AH25" s="54"/>
      <c r="AI25" s="54"/>
      <c r="AJ25" s="73" t="str">
        <f>IF(C237="Nee"," ","Dieselaggregraat")</f>
        <v>Dieselaggregraat</v>
      </c>
      <c r="AK25" s="54"/>
      <c r="AR25" s="54"/>
      <c r="AS25" s="54"/>
      <c r="AT25" s="54"/>
      <c r="AU25" s="73" t="str">
        <f>IF(C595="Nee"," ","Dieselaggregraat")</f>
        <v>Dieselaggregraat</v>
      </c>
      <c r="AV25" s="54"/>
      <c r="AX25" s="58" t="s">
        <v>768</v>
      </c>
      <c r="BA25" s="69" t="s">
        <v>109</v>
      </c>
      <c r="BE25" s="71"/>
    </row>
    <row r="26" spans="1:57" s="75" customFormat="1" ht="12.75">
      <c r="A26" s="74"/>
      <c r="B26" s="189"/>
      <c r="C26" s="193"/>
      <c r="D26" s="188"/>
      <c r="E26" s="183"/>
      <c r="F26" s="183"/>
      <c r="G26" s="189"/>
      <c r="H26" s="189"/>
      <c r="I26" s="189"/>
      <c r="J26" s="189"/>
      <c r="K26" s="189"/>
      <c r="L26" s="189"/>
      <c r="M26" s="189"/>
      <c r="N26" s="189"/>
      <c r="O26" s="189"/>
      <c r="P26" s="191"/>
      <c r="Q26" s="192"/>
      <c r="R26" s="192"/>
      <c r="T26" s="54"/>
      <c r="U26" s="54"/>
      <c r="V26" s="54"/>
      <c r="W26" s="54" t="s">
        <v>265</v>
      </c>
      <c r="X26" s="54"/>
      <c r="Y26" s="54"/>
      <c r="AG26" s="54"/>
      <c r="AH26" s="54"/>
      <c r="AI26" s="54"/>
      <c r="AK26" s="54"/>
      <c r="AR26" s="54"/>
      <c r="AS26" s="54"/>
      <c r="AT26" s="54"/>
      <c r="AV26" s="54"/>
      <c r="BA26" s="75" t="s">
        <v>770</v>
      </c>
      <c r="BE26" s="69"/>
    </row>
    <row r="27" spans="1:57" s="69" customFormat="1" ht="12.75">
      <c r="A27" s="68"/>
      <c r="B27" s="181"/>
      <c r="C27" s="180" t="s">
        <v>621</v>
      </c>
      <c r="D27" s="188"/>
      <c r="E27" s="183"/>
      <c r="F27" s="183"/>
      <c r="G27" s="181"/>
      <c r="H27" s="181"/>
      <c r="I27" s="181"/>
      <c r="J27" s="181"/>
      <c r="K27" s="181"/>
      <c r="L27" s="181"/>
      <c r="M27" s="181"/>
      <c r="N27" s="181"/>
      <c r="O27" s="181"/>
      <c r="P27" s="182"/>
      <c r="Q27" s="183"/>
      <c r="R27" s="183"/>
      <c r="AJ27" s="77" t="s">
        <v>265</v>
      </c>
      <c r="AU27" s="77" t="s">
        <v>265</v>
      </c>
      <c r="BA27" s="69" t="s">
        <v>769</v>
      </c>
      <c r="BE27" s="71"/>
    </row>
    <row r="28" spans="1:53" s="71" customFormat="1" ht="6.75">
      <c r="A28" s="70"/>
      <c r="B28" s="184"/>
      <c r="C28" s="185"/>
      <c r="D28" s="194"/>
      <c r="E28" s="187"/>
      <c r="F28" s="187"/>
      <c r="G28" s="184"/>
      <c r="H28" s="184"/>
      <c r="I28" s="184"/>
      <c r="J28" s="184"/>
      <c r="K28" s="184"/>
      <c r="L28" s="184"/>
      <c r="M28" s="184"/>
      <c r="N28" s="184"/>
      <c r="O28" s="184"/>
      <c r="P28" s="186"/>
      <c r="Q28" s="187"/>
      <c r="R28" s="187"/>
      <c r="BA28" s="71" t="s">
        <v>771</v>
      </c>
    </row>
    <row r="29" spans="1:57" s="69" customFormat="1" ht="12.75">
      <c r="A29" s="68"/>
      <c r="B29" s="181"/>
      <c r="C29" s="140"/>
      <c r="D29" s="188" t="s">
        <v>618</v>
      </c>
      <c r="E29" s="183"/>
      <c r="F29" s="183"/>
      <c r="G29" s="181"/>
      <c r="H29" s="181"/>
      <c r="I29" s="181"/>
      <c r="J29" s="181"/>
      <c r="K29" s="181"/>
      <c r="L29" s="181"/>
      <c r="M29" s="181"/>
      <c r="N29" s="181"/>
      <c r="O29" s="181"/>
      <c r="P29" s="182"/>
      <c r="Q29" s="183"/>
      <c r="R29" s="183"/>
      <c r="BE29" s="75"/>
    </row>
    <row r="30" spans="1:53" s="71" customFormat="1" ht="6.75">
      <c r="A30" s="70"/>
      <c r="B30" s="184"/>
      <c r="C30" s="157"/>
      <c r="D30" s="194"/>
      <c r="E30" s="187"/>
      <c r="F30" s="187"/>
      <c r="G30" s="184"/>
      <c r="H30" s="184"/>
      <c r="I30" s="184"/>
      <c r="J30" s="184"/>
      <c r="K30" s="184"/>
      <c r="L30" s="184"/>
      <c r="M30" s="184"/>
      <c r="N30" s="184"/>
      <c r="O30" s="184"/>
      <c r="P30" s="186"/>
      <c r="Q30" s="187"/>
      <c r="R30" s="187"/>
      <c r="BA30" s="71" t="s">
        <v>265</v>
      </c>
    </row>
    <row r="31" spans="2:57" s="69" customFormat="1" ht="12.75">
      <c r="B31" s="183"/>
      <c r="C31" s="140"/>
      <c r="D31" s="188" t="s">
        <v>619</v>
      </c>
      <c r="E31" s="183"/>
      <c r="F31" s="183"/>
      <c r="G31" s="182"/>
      <c r="H31" s="182"/>
      <c r="I31" s="183"/>
      <c r="J31" s="183"/>
      <c r="K31" s="183"/>
      <c r="L31" s="183"/>
      <c r="M31" s="183"/>
      <c r="N31" s="183"/>
      <c r="O31" s="183"/>
      <c r="P31" s="183"/>
      <c r="Q31" s="183"/>
      <c r="R31" s="183"/>
      <c r="T31" s="58" t="s">
        <v>359</v>
      </c>
      <c r="W31" s="77" t="s">
        <v>360</v>
      </c>
      <c r="Z31" s="58" t="s">
        <v>375</v>
      </c>
      <c r="AC31" s="69" t="s">
        <v>353</v>
      </c>
      <c r="AE31" s="58" t="s">
        <v>366</v>
      </c>
      <c r="AH31" s="69" t="s">
        <v>353</v>
      </c>
      <c r="AJ31" s="58" t="s">
        <v>373</v>
      </c>
      <c r="AM31" s="69" t="s">
        <v>353</v>
      </c>
      <c r="AQ31" s="58" t="s">
        <v>272</v>
      </c>
      <c r="AT31" s="69" t="s">
        <v>764</v>
      </c>
      <c r="BE31" s="71"/>
    </row>
    <row r="32" spans="2:46" s="69" customFormat="1" ht="12.75">
      <c r="B32" s="183"/>
      <c r="C32" s="193"/>
      <c r="D32" s="188"/>
      <c r="E32" s="183"/>
      <c r="F32" s="183"/>
      <c r="G32" s="183"/>
      <c r="H32" s="183"/>
      <c r="I32" s="183"/>
      <c r="J32" s="183"/>
      <c r="K32" s="183"/>
      <c r="L32" s="183"/>
      <c r="M32" s="183"/>
      <c r="N32" s="183"/>
      <c r="O32" s="183"/>
      <c r="P32" s="183"/>
      <c r="Q32" s="183"/>
      <c r="R32" s="183"/>
      <c r="W32" s="77" t="s">
        <v>361</v>
      </c>
      <c r="Z32" s="58" t="s">
        <v>374</v>
      </c>
      <c r="AC32" s="69" t="s">
        <v>354</v>
      </c>
      <c r="AH32" s="69" t="s">
        <v>354</v>
      </c>
      <c r="AM32" s="69" t="s">
        <v>354</v>
      </c>
      <c r="AT32" s="69" t="s">
        <v>765</v>
      </c>
    </row>
    <row r="33" spans="2:57" s="69" customFormat="1" ht="12.75">
      <c r="B33" s="183"/>
      <c r="C33" s="312" t="s">
        <v>805</v>
      </c>
      <c r="G33" s="183"/>
      <c r="H33" s="183"/>
      <c r="I33" s="183"/>
      <c r="J33" s="183"/>
      <c r="K33" s="183"/>
      <c r="L33" s="183"/>
      <c r="M33" s="183"/>
      <c r="N33" s="183"/>
      <c r="O33" s="183"/>
      <c r="P33" s="183"/>
      <c r="Q33" s="183"/>
      <c r="R33" s="183"/>
      <c r="W33" s="77" t="s">
        <v>362</v>
      </c>
      <c r="AC33" s="69" t="s">
        <v>355</v>
      </c>
      <c r="AH33" s="69" t="s">
        <v>368</v>
      </c>
      <c r="AM33" s="69" t="s">
        <v>355</v>
      </c>
      <c r="BE33" s="71"/>
    </row>
    <row r="34" spans="2:46" s="71" customFormat="1" ht="6.75">
      <c r="B34" s="187"/>
      <c r="G34" s="187"/>
      <c r="H34" s="187"/>
      <c r="I34" s="187"/>
      <c r="J34" s="187"/>
      <c r="K34" s="187"/>
      <c r="L34" s="187"/>
      <c r="M34" s="187"/>
      <c r="N34" s="187"/>
      <c r="O34" s="187"/>
      <c r="P34" s="187"/>
      <c r="Q34" s="187"/>
      <c r="R34" s="187"/>
      <c r="W34" s="71" t="s">
        <v>356</v>
      </c>
      <c r="AC34" s="71" t="s">
        <v>356</v>
      </c>
      <c r="AH34" s="71" t="s">
        <v>367</v>
      </c>
      <c r="AM34" s="71" t="s">
        <v>356</v>
      </c>
      <c r="AT34" s="71" t="s">
        <v>265</v>
      </c>
    </row>
    <row r="35" spans="2:57" s="69" customFormat="1" ht="12.75">
      <c r="B35" s="183"/>
      <c r="C35" s="307"/>
      <c r="D35" s="308" t="s">
        <v>804</v>
      </c>
      <c r="G35" s="183"/>
      <c r="H35" s="183"/>
      <c r="I35" s="183"/>
      <c r="J35" s="183"/>
      <c r="K35" s="183"/>
      <c r="L35" s="183"/>
      <c r="M35" s="183"/>
      <c r="N35" s="183"/>
      <c r="O35" s="183"/>
      <c r="P35" s="183"/>
      <c r="Q35" s="183"/>
      <c r="R35" s="183"/>
      <c r="W35" s="77"/>
      <c r="AH35" s="77" t="s">
        <v>356</v>
      </c>
      <c r="BE35" s="75"/>
    </row>
    <row r="36" spans="2:39" s="69" customFormat="1" ht="12.75">
      <c r="B36" s="183"/>
      <c r="G36" s="183"/>
      <c r="H36" s="183"/>
      <c r="I36" s="183"/>
      <c r="J36" s="183"/>
      <c r="K36" s="183"/>
      <c r="L36" s="183"/>
      <c r="M36" s="183"/>
      <c r="N36" s="183"/>
      <c r="O36" s="183"/>
      <c r="P36" s="183"/>
      <c r="Q36" s="183"/>
      <c r="R36" s="183"/>
      <c r="W36" s="77" t="s">
        <v>265</v>
      </c>
      <c r="AC36" s="78" t="s">
        <v>265</v>
      </c>
      <c r="AH36" s="77"/>
      <c r="AM36" s="78" t="s">
        <v>265</v>
      </c>
    </row>
    <row r="37" spans="2:57" s="69" customFormat="1" ht="12.75">
      <c r="B37" s="183"/>
      <c r="G37" s="183"/>
      <c r="H37" s="183"/>
      <c r="I37" s="183"/>
      <c r="J37" s="195"/>
      <c r="K37" s="195"/>
      <c r="L37" s="183"/>
      <c r="M37" s="183"/>
      <c r="N37" s="183"/>
      <c r="O37" s="183"/>
      <c r="P37" s="183"/>
      <c r="Q37" s="183"/>
      <c r="R37" s="183"/>
      <c r="AH37" s="78" t="s">
        <v>265</v>
      </c>
      <c r="BE37" s="71"/>
    </row>
    <row r="38" spans="2:39" s="69" customFormat="1" ht="12.75">
      <c r="B38" s="183"/>
      <c r="G38" s="183"/>
      <c r="H38" s="183"/>
      <c r="I38" s="183"/>
      <c r="J38" s="195"/>
      <c r="K38" s="195"/>
      <c r="L38" s="183"/>
      <c r="M38" s="183"/>
      <c r="N38" s="183"/>
      <c r="O38" s="183"/>
      <c r="P38" s="183"/>
      <c r="Q38" s="183"/>
      <c r="R38" s="183"/>
      <c r="W38" s="77"/>
      <c r="AC38" s="78"/>
      <c r="AM38" s="78"/>
    </row>
    <row r="39" spans="2:57" s="69" customFormat="1" ht="12.75">
      <c r="B39" s="183"/>
      <c r="G39" s="183"/>
      <c r="H39" s="183"/>
      <c r="I39" s="183"/>
      <c r="J39" s="195"/>
      <c r="K39" s="195"/>
      <c r="L39" s="183"/>
      <c r="M39" s="183"/>
      <c r="N39" s="183"/>
      <c r="O39" s="183"/>
      <c r="P39" s="183"/>
      <c r="Q39" s="183"/>
      <c r="R39" s="183"/>
      <c r="W39" s="77"/>
      <c r="AC39" s="78"/>
      <c r="AM39" s="78"/>
      <c r="BE39" s="71"/>
    </row>
    <row r="40" spans="2:39" s="69" customFormat="1" ht="6.75" customHeight="1">
      <c r="B40" s="183"/>
      <c r="G40" s="183"/>
      <c r="H40" s="183"/>
      <c r="I40" s="183"/>
      <c r="J40" s="196"/>
      <c r="K40" s="196"/>
      <c r="L40" s="183"/>
      <c r="M40" s="183"/>
      <c r="N40" s="183"/>
      <c r="O40" s="183"/>
      <c r="P40" s="183"/>
      <c r="Q40" s="183"/>
      <c r="R40" s="183"/>
      <c r="W40" s="77"/>
      <c r="AC40" s="78"/>
      <c r="AM40" s="78"/>
    </row>
    <row r="41" spans="2:39" s="69" customFormat="1" ht="12.75">
      <c r="B41" s="183"/>
      <c r="G41" s="183"/>
      <c r="H41" s="183"/>
      <c r="I41" s="183"/>
      <c r="J41" s="196"/>
      <c r="K41" s="196"/>
      <c r="L41" s="183"/>
      <c r="M41" s="183"/>
      <c r="N41" s="183"/>
      <c r="O41" s="183"/>
      <c r="P41" s="183"/>
      <c r="Q41" s="183"/>
      <c r="R41" s="183"/>
      <c r="W41" s="77"/>
      <c r="AC41" s="78"/>
      <c r="AM41" s="78"/>
    </row>
    <row r="42" spans="2:39" s="69" customFormat="1" ht="6.75" customHeight="1">
      <c r="B42" s="183"/>
      <c r="G42" s="183"/>
      <c r="H42" s="183"/>
      <c r="I42" s="183"/>
      <c r="J42" s="196"/>
      <c r="K42" s="196"/>
      <c r="L42" s="183"/>
      <c r="M42" s="183"/>
      <c r="N42" s="183"/>
      <c r="O42" s="183"/>
      <c r="P42" s="183"/>
      <c r="Q42" s="183"/>
      <c r="R42" s="183"/>
      <c r="W42" s="77"/>
      <c r="AC42" s="78"/>
      <c r="AM42" s="78"/>
    </row>
    <row r="43" spans="2:57" s="69" customFormat="1" ht="12.75">
      <c r="B43" s="183"/>
      <c r="G43" s="183"/>
      <c r="H43" s="183"/>
      <c r="I43" s="183"/>
      <c r="J43" s="183"/>
      <c r="K43" s="183"/>
      <c r="L43" s="183"/>
      <c r="M43" s="183"/>
      <c r="N43" s="183"/>
      <c r="O43" s="183"/>
      <c r="P43" s="183"/>
      <c r="Q43" s="183"/>
      <c r="R43" s="183"/>
      <c r="BE43" s="71"/>
    </row>
    <row r="44" spans="2:34" s="69" customFormat="1" ht="12.75">
      <c r="B44" s="183"/>
      <c r="C44" s="193"/>
      <c r="D44" s="188"/>
      <c r="E44" s="183"/>
      <c r="F44" s="183"/>
      <c r="G44" s="183"/>
      <c r="H44" s="183"/>
      <c r="I44" s="183"/>
      <c r="J44" s="183"/>
      <c r="K44" s="183"/>
      <c r="L44" s="183"/>
      <c r="M44" s="183"/>
      <c r="N44" s="183"/>
      <c r="O44" s="183"/>
      <c r="P44" s="183"/>
      <c r="Q44" s="183"/>
      <c r="R44" s="183"/>
      <c r="AH44" s="78"/>
    </row>
    <row r="45" spans="2:57" ht="18">
      <c r="B45" s="197" t="s">
        <v>12</v>
      </c>
      <c r="C45" s="177"/>
      <c r="D45" s="177"/>
      <c r="E45" s="177"/>
      <c r="F45" s="176"/>
      <c r="G45" s="176"/>
      <c r="H45" s="176"/>
      <c r="I45" s="177"/>
      <c r="J45" s="177"/>
      <c r="K45" s="177"/>
      <c r="L45" s="177"/>
      <c r="M45" s="177"/>
      <c r="N45" s="177"/>
      <c r="O45" s="177"/>
      <c r="P45" s="177"/>
      <c r="Q45" s="177"/>
      <c r="R45" s="177"/>
      <c r="BE45" s="69"/>
    </row>
    <row r="46" spans="2:57" ht="12.75">
      <c r="B46" s="177"/>
      <c r="C46" s="177"/>
      <c r="D46" s="177"/>
      <c r="E46" s="177"/>
      <c r="F46" s="176"/>
      <c r="G46" s="176"/>
      <c r="H46" s="176"/>
      <c r="I46" s="177"/>
      <c r="J46" s="177"/>
      <c r="K46" s="177"/>
      <c r="L46" s="177"/>
      <c r="M46" s="177"/>
      <c r="N46" s="177"/>
      <c r="O46" s="177"/>
      <c r="P46" s="177"/>
      <c r="Q46" s="177"/>
      <c r="R46" s="177"/>
      <c r="BE46" s="69"/>
    </row>
    <row r="47" spans="2:57" ht="12.75" hidden="1" outlineLevel="1">
      <c r="B47" s="177"/>
      <c r="C47" s="198" t="s">
        <v>276</v>
      </c>
      <c r="D47" s="177"/>
      <c r="E47" s="177"/>
      <c r="F47" s="176"/>
      <c r="G47" s="173"/>
      <c r="H47" s="173"/>
      <c r="I47" s="177"/>
      <c r="J47" s="177"/>
      <c r="K47" s="177"/>
      <c r="L47" s="177"/>
      <c r="M47" s="177"/>
      <c r="N47" s="177"/>
      <c r="O47" s="177"/>
      <c r="P47" s="177"/>
      <c r="Q47" s="177"/>
      <c r="R47" s="177"/>
      <c r="BE47" s="69"/>
    </row>
    <row r="48" spans="2:18" s="80" customFormat="1" ht="8.25" hidden="1" outlineLevel="2">
      <c r="B48" s="199"/>
      <c r="C48" s="199"/>
      <c r="D48" s="199"/>
      <c r="E48" s="199"/>
      <c r="F48" s="199"/>
      <c r="G48" s="199"/>
      <c r="H48" s="199"/>
      <c r="I48" s="199"/>
      <c r="J48" s="199"/>
      <c r="K48" s="199"/>
      <c r="L48" s="199"/>
      <c r="M48" s="199"/>
      <c r="N48" s="199"/>
      <c r="O48" s="199"/>
      <c r="P48" s="199"/>
      <c r="Q48" s="199"/>
      <c r="R48" s="199"/>
    </row>
    <row r="49" spans="2:57" ht="12.75" hidden="1" outlineLevel="2">
      <c r="B49" s="177"/>
      <c r="C49" s="200" t="s">
        <v>261</v>
      </c>
      <c r="D49" s="177"/>
      <c r="E49" s="177"/>
      <c r="F49" s="177"/>
      <c r="G49" s="177"/>
      <c r="H49" s="201" t="str">
        <f>IF(C55="Zelf details invoeren","Toepassing graafmachine"," ")</f>
        <v> </v>
      </c>
      <c r="I49" s="177"/>
      <c r="J49" s="177"/>
      <c r="K49" s="201" t="str">
        <f>IF(C55="Zelf details invoeren","Toepassing dumper"," ")</f>
        <v> </v>
      </c>
      <c r="L49" s="202"/>
      <c r="M49" s="177"/>
      <c r="N49" s="203"/>
      <c r="O49" s="177"/>
      <c r="P49" s="177"/>
      <c r="Q49" s="203"/>
      <c r="R49" s="177"/>
      <c r="BE49" s="69"/>
    </row>
    <row r="50" spans="2:18" s="71" customFormat="1" ht="6.75" hidden="1" outlineLevel="2">
      <c r="B50" s="187"/>
      <c r="C50" s="187"/>
      <c r="D50" s="187"/>
      <c r="E50" s="187"/>
      <c r="F50" s="187"/>
      <c r="G50" s="187"/>
      <c r="H50" s="187"/>
      <c r="I50" s="187"/>
      <c r="J50" s="187"/>
      <c r="K50" s="187"/>
      <c r="L50" s="187"/>
      <c r="M50" s="187"/>
      <c r="N50" s="187"/>
      <c r="O50" s="187"/>
      <c r="P50" s="187"/>
      <c r="Q50" s="187"/>
      <c r="R50" s="187"/>
    </row>
    <row r="51" spans="2:57" ht="12.75" hidden="1" outlineLevel="2">
      <c r="B51" s="177"/>
      <c r="C51" s="309"/>
      <c r="D51" s="188" t="s">
        <v>18</v>
      </c>
      <c r="E51" s="177"/>
      <c r="F51" s="177"/>
      <c r="G51" s="177"/>
      <c r="H51" s="142"/>
      <c r="I51" s="204" t="str">
        <f>IF(C55="Zelf details invoeren","m³"," ")</f>
        <v> </v>
      </c>
      <c r="J51" s="177"/>
      <c r="K51" s="143"/>
      <c r="L51" s="204" t="str">
        <f>IF(C55="Zelf details invoeren","m³"," ")</f>
        <v> </v>
      </c>
      <c r="M51" s="177"/>
      <c r="N51" s="203"/>
      <c r="O51" s="205"/>
      <c r="P51" s="177"/>
      <c r="Q51" s="203"/>
      <c r="R51" s="205"/>
      <c r="BE51" s="69"/>
    </row>
    <row r="52" spans="2:18" s="75" customFormat="1" ht="8.25" hidden="1" outlineLevel="2">
      <c r="B52" s="192"/>
      <c r="C52" s="192"/>
      <c r="D52" s="192"/>
      <c r="E52" s="192"/>
      <c r="F52" s="192"/>
      <c r="G52" s="192"/>
      <c r="H52" s="192"/>
      <c r="I52" s="192"/>
      <c r="J52" s="192"/>
      <c r="K52" s="192"/>
      <c r="L52" s="192"/>
      <c r="M52" s="192"/>
      <c r="N52" s="192"/>
      <c r="O52" s="192"/>
      <c r="P52" s="192"/>
      <c r="Q52" s="192"/>
      <c r="R52" s="192"/>
    </row>
    <row r="53" spans="2:57" s="77" customFormat="1" ht="12.75" hidden="1" outlineLevel="2">
      <c r="B53" s="202"/>
      <c r="C53" s="200" t="s">
        <v>266</v>
      </c>
      <c r="D53" s="202"/>
      <c r="E53" s="202"/>
      <c r="F53" s="202"/>
      <c r="G53" s="202"/>
      <c r="H53" s="201" t="str">
        <f>IF(C55="Zelf details invoeren","Toepassing shovel"," ")</f>
        <v> </v>
      </c>
      <c r="I53" s="202"/>
      <c r="J53" s="202"/>
      <c r="K53" s="206"/>
      <c r="L53" s="202"/>
      <c r="M53" s="202"/>
      <c r="N53" s="203"/>
      <c r="O53" s="177"/>
      <c r="P53" s="202"/>
      <c r="Q53" s="202"/>
      <c r="R53" s="202"/>
      <c r="BE53" s="69"/>
    </row>
    <row r="54" spans="2:18" s="71" customFormat="1" ht="6.75" hidden="1" outlineLevel="2">
      <c r="B54" s="187"/>
      <c r="C54" s="187"/>
      <c r="D54" s="187"/>
      <c r="E54" s="187"/>
      <c r="F54" s="187"/>
      <c r="G54" s="187"/>
      <c r="H54" s="187"/>
      <c r="I54" s="187"/>
      <c r="J54" s="187"/>
      <c r="K54" s="187"/>
      <c r="L54" s="187"/>
      <c r="M54" s="187"/>
      <c r="N54" s="187"/>
      <c r="O54" s="187"/>
      <c r="P54" s="187"/>
      <c r="Q54" s="187"/>
      <c r="R54" s="187"/>
    </row>
    <row r="55" spans="2:18" ht="12.75" hidden="1" outlineLevel="2">
      <c r="B55" s="207"/>
      <c r="C55" s="328" t="s">
        <v>265</v>
      </c>
      <c r="D55" s="333"/>
      <c r="E55" s="329"/>
      <c r="F55" s="177"/>
      <c r="G55" s="177"/>
      <c r="H55" s="143"/>
      <c r="I55" s="204" t="str">
        <f>IF(C55="Zelf details invoeren","m³"," ")</f>
        <v> </v>
      </c>
      <c r="J55" s="177"/>
      <c r="K55" s="143"/>
      <c r="L55" s="208"/>
      <c r="M55" s="177"/>
      <c r="N55" s="203"/>
      <c r="O55" s="205"/>
      <c r="P55" s="177"/>
      <c r="Q55" s="177"/>
      <c r="R55" s="177"/>
    </row>
    <row r="56" spans="2:18" s="75" customFormat="1" ht="8.25" hidden="1" outlineLevel="2">
      <c r="B56" s="192"/>
      <c r="C56" s="192"/>
      <c r="D56" s="192"/>
      <c r="E56" s="192"/>
      <c r="F56" s="192"/>
      <c r="G56" s="192"/>
      <c r="H56" s="192"/>
      <c r="I56" s="192"/>
      <c r="J56" s="192"/>
      <c r="K56" s="192"/>
      <c r="L56" s="192"/>
      <c r="M56" s="192"/>
      <c r="N56" s="192"/>
      <c r="O56" s="192"/>
      <c r="P56" s="192"/>
      <c r="Q56" s="192"/>
      <c r="R56" s="192"/>
    </row>
    <row r="57" spans="2:57" s="77" customFormat="1" ht="12.75" hidden="1" outlineLevel="2">
      <c r="B57" s="202"/>
      <c r="C57" s="200" t="s">
        <v>278</v>
      </c>
      <c r="D57" s="202"/>
      <c r="E57" s="202"/>
      <c r="F57" s="202"/>
      <c r="G57" s="202"/>
      <c r="H57" s="202"/>
      <c r="I57" s="202"/>
      <c r="J57" s="202"/>
      <c r="K57" s="202"/>
      <c r="L57" s="202"/>
      <c r="M57" s="202"/>
      <c r="N57" s="202"/>
      <c r="O57" s="202"/>
      <c r="P57" s="202"/>
      <c r="Q57" s="202"/>
      <c r="R57" s="202"/>
      <c r="BE57" s="80"/>
    </row>
    <row r="58" spans="2:18" s="71" customFormat="1" ht="6.75" hidden="1" outlineLevel="2">
      <c r="B58" s="187"/>
      <c r="C58" s="187"/>
      <c r="D58" s="187"/>
      <c r="E58" s="187"/>
      <c r="F58" s="187"/>
      <c r="G58" s="187"/>
      <c r="H58" s="187"/>
      <c r="I58" s="187"/>
      <c r="J58" s="187"/>
      <c r="K58" s="187"/>
      <c r="L58" s="187"/>
      <c r="M58" s="187"/>
      <c r="N58" s="187"/>
      <c r="O58" s="187"/>
      <c r="P58" s="187"/>
      <c r="Q58" s="187"/>
      <c r="R58" s="187"/>
    </row>
    <row r="59" spans="2:57" s="77" customFormat="1" ht="12.75" hidden="1" outlineLevel="2">
      <c r="B59" s="202"/>
      <c r="C59" s="141"/>
      <c r="D59" s="188" t="s">
        <v>279</v>
      </c>
      <c r="E59" s="202"/>
      <c r="F59" s="202"/>
      <c r="G59" s="202"/>
      <c r="H59" s="202"/>
      <c r="I59" s="202"/>
      <c r="J59" s="202"/>
      <c r="K59" s="202"/>
      <c r="L59" s="202"/>
      <c r="M59" s="202"/>
      <c r="N59" s="209"/>
      <c r="O59" s="202"/>
      <c r="P59" s="202"/>
      <c r="Q59" s="202"/>
      <c r="R59" s="202"/>
      <c r="BE59" s="71"/>
    </row>
    <row r="60" spans="2:18" s="75" customFormat="1" ht="8.25" hidden="1" outlineLevel="2">
      <c r="B60" s="192"/>
      <c r="C60" s="192"/>
      <c r="D60" s="192"/>
      <c r="E60" s="192"/>
      <c r="F60" s="192"/>
      <c r="G60" s="192"/>
      <c r="H60" s="192"/>
      <c r="I60" s="192"/>
      <c r="J60" s="192"/>
      <c r="K60" s="192"/>
      <c r="L60" s="192"/>
      <c r="M60" s="192"/>
      <c r="N60" s="218"/>
      <c r="O60" s="192"/>
      <c r="P60" s="192"/>
      <c r="Q60" s="192"/>
      <c r="R60" s="192"/>
    </row>
    <row r="61" spans="2:57" s="77" customFormat="1" ht="12.75" hidden="1" outlineLevel="2">
      <c r="B61" s="202"/>
      <c r="C61" s="200" t="s">
        <v>280</v>
      </c>
      <c r="D61" s="202"/>
      <c r="E61" s="202"/>
      <c r="F61" s="202"/>
      <c r="G61" s="202"/>
      <c r="H61" s="202"/>
      <c r="I61" s="202"/>
      <c r="J61" s="210" t="s">
        <v>433</v>
      </c>
      <c r="K61" s="202"/>
      <c r="L61" s="202"/>
      <c r="M61" s="202"/>
      <c r="N61" s="211"/>
      <c r="O61" s="202"/>
      <c r="P61" s="202"/>
      <c r="Q61" s="202"/>
      <c r="R61" s="202"/>
      <c r="BE61" s="75"/>
    </row>
    <row r="62" spans="2:18" s="71" customFormat="1" ht="6.75" hidden="1" outlineLevel="2">
      <c r="B62" s="187"/>
      <c r="C62" s="187"/>
      <c r="D62" s="187"/>
      <c r="E62" s="187"/>
      <c r="F62" s="187"/>
      <c r="G62" s="187"/>
      <c r="H62" s="187"/>
      <c r="I62" s="187"/>
      <c r="J62" s="187"/>
      <c r="K62" s="187"/>
      <c r="L62" s="187"/>
      <c r="M62" s="187"/>
      <c r="N62" s="216"/>
      <c r="O62" s="187"/>
      <c r="P62" s="187"/>
      <c r="Q62" s="187"/>
      <c r="R62" s="187"/>
    </row>
    <row r="63" spans="2:57" s="77" customFormat="1" ht="12.75" hidden="1" outlineLevel="2">
      <c r="B63" s="207"/>
      <c r="C63" s="334" t="s">
        <v>265</v>
      </c>
      <c r="D63" s="335"/>
      <c r="E63" s="202"/>
      <c r="F63" s="202"/>
      <c r="G63" s="202"/>
      <c r="H63" s="202"/>
      <c r="I63" s="202"/>
      <c r="J63" s="141"/>
      <c r="K63" s="188" t="s">
        <v>270</v>
      </c>
      <c r="L63" s="202"/>
      <c r="M63" s="202"/>
      <c r="N63" s="212"/>
      <c r="O63" s="202"/>
      <c r="P63" s="202"/>
      <c r="Q63" s="202"/>
      <c r="R63" s="202"/>
      <c r="BE63" s="71"/>
    </row>
    <row r="64" spans="2:18" s="75" customFormat="1" ht="8.25" hidden="1" outlineLevel="2">
      <c r="B64" s="192"/>
      <c r="C64" s="192"/>
      <c r="D64" s="192"/>
      <c r="E64" s="192"/>
      <c r="F64" s="192"/>
      <c r="G64" s="192"/>
      <c r="H64" s="192"/>
      <c r="I64" s="192"/>
      <c r="J64" s="192"/>
      <c r="K64" s="192"/>
      <c r="L64" s="192"/>
      <c r="M64" s="192"/>
      <c r="N64" s="218"/>
      <c r="O64" s="192"/>
      <c r="P64" s="192"/>
      <c r="Q64" s="192"/>
      <c r="R64" s="192"/>
    </row>
    <row r="65" spans="2:57" s="77" customFormat="1" ht="13.5" customHeight="1" hidden="1" outlineLevel="2">
      <c r="B65" s="202"/>
      <c r="C65" s="213" t="str">
        <f>IF(AND($C$59&gt;0,$C$63="Ja"),"Omvang depot 1"," ")</f>
        <v> </v>
      </c>
      <c r="D65" s="202"/>
      <c r="E65" s="213" t="str">
        <f>IF(AND($C$59&gt;1,$C$63="Ja"),"Omvang depot 2"," ")</f>
        <v> </v>
      </c>
      <c r="F65" s="202"/>
      <c r="G65" s="213" t="str">
        <f>IF(AND($C$59&gt;2,$C$63="Ja"),"Omvang depot 3"," ")</f>
        <v> </v>
      </c>
      <c r="H65" s="202"/>
      <c r="I65" s="213" t="str">
        <f>IF(AND($C$59&gt;3,$C$63="Ja"),"Omvang depot 4"," ")</f>
        <v> </v>
      </c>
      <c r="J65" s="202"/>
      <c r="K65" s="213" t="str">
        <f>IF(AND($C$59&gt;4,$C$63="Ja"),"Omvang depot 5"," ")</f>
        <v> </v>
      </c>
      <c r="L65" s="202"/>
      <c r="M65" s="202"/>
      <c r="N65" s="211"/>
      <c r="O65" s="202"/>
      <c r="P65" s="202"/>
      <c r="Q65" s="202"/>
      <c r="R65" s="202"/>
      <c r="BE65" s="75"/>
    </row>
    <row r="66" spans="2:18" s="71" customFormat="1" ht="6.75" hidden="1" outlineLevel="2">
      <c r="B66" s="187"/>
      <c r="C66" s="214"/>
      <c r="D66" s="187"/>
      <c r="E66" s="214"/>
      <c r="F66" s="187"/>
      <c r="G66" s="214"/>
      <c r="H66" s="187"/>
      <c r="I66" s="214"/>
      <c r="J66" s="187"/>
      <c r="K66" s="214"/>
      <c r="L66" s="187"/>
      <c r="M66" s="187"/>
      <c r="N66" s="216"/>
      <c r="O66" s="187"/>
      <c r="P66" s="187"/>
      <c r="Q66" s="187"/>
      <c r="R66" s="187"/>
    </row>
    <row r="67" spans="2:57" s="77" customFormat="1" ht="13.5" customHeight="1" hidden="1" outlineLevel="2">
      <c r="B67" s="202"/>
      <c r="C67" s="144"/>
      <c r="D67" s="188" t="str">
        <f>IF(AND(C59&gt;0,C63="Ja"),"m³"," ")</f>
        <v> </v>
      </c>
      <c r="E67" s="144"/>
      <c r="F67" s="188" t="str">
        <f>IF(AND(C59&gt;1,C63="Ja"),"m³"," ")</f>
        <v> </v>
      </c>
      <c r="G67" s="144"/>
      <c r="H67" s="188" t="str">
        <f>IF(AND(C59&gt;2,C63="Ja"),"m³"," ")</f>
        <v> </v>
      </c>
      <c r="I67" s="144"/>
      <c r="J67" s="188" t="str">
        <f>IF(AND(C59&gt;3,C63="Ja"),"m³"," ")</f>
        <v> </v>
      </c>
      <c r="K67" s="144"/>
      <c r="L67" s="188" t="str">
        <f>IF(AND(C59&gt;4,C63="Ja"),"m³"," ")</f>
        <v> </v>
      </c>
      <c r="M67" s="202"/>
      <c r="N67" s="212"/>
      <c r="O67" s="202"/>
      <c r="P67" s="202"/>
      <c r="Q67" s="202"/>
      <c r="R67" s="202"/>
      <c r="BE67" s="71"/>
    </row>
    <row r="68" spans="2:18" s="75" customFormat="1" ht="8.25" hidden="1" outlineLevel="2">
      <c r="B68" s="192"/>
      <c r="C68" s="192"/>
      <c r="D68" s="192"/>
      <c r="E68" s="192"/>
      <c r="F68" s="192"/>
      <c r="G68" s="192"/>
      <c r="H68" s="192"/>
      <c r="I68" s="192"/>
      <c r="J68" s="192"/>
      <c r="K68" s="192"/>
      <c r="L68" s="192"/>
      <c r="M68" s="192"/>
      <c r="N68" s="218"/>
      <c r="O68" s="192"/>
      <c r="P68" s="192"/>
      <c r="Q68" s="192"/>
      <c r="R68" s="192"/>
    </row>
    <row r="69" spans="1:57" s="83" customFormat="1" ht="12.75" hidden="1" outlineLevel="2">
      <c r="A69" s="77"/>
      <c r="B69" s="202"/>
      <c r="C69" s="200" t="s">
        <v>252</v>
      </c>
      <c r="D69" s="177"/>
      <c r="E69" s="210" t="s">
        <v>284</v>
      </c>
      <c r="F69" s="177"/>
      <c r="G69" s="215"/>
      <c r="H69" s="210" t="str">
        <f>IF(C55="Zelf details invoeren","Benodigde hoeveelheid"," ")</f>
        <v> </v>
      </c>
      <c r="I69" s="215"/>
      <c r="J69" s="202"/>
      <c r="K69" s="210" t="str">
        <f>IF(C55="Zelf details invoeren","Dikte geotextiel / folie"," ")</f>
        <v> </v>
      </c>
      <c r="L69" s="177"/>
      <c r="M69" s="202"/>
      <c r="N69" s="211"/>
      <c r="O69" s="215"/>
      <c r="P69" s="215"/>
      <c r="Q69" s="215"/>
      <c r="R69" s="215"/>
      <c r="BE69" s="75"/>
    </row>
    <row r="70" spans="2:18" s="71" customFormat="1" ht="6.75" hidden="1" outlineLevel="2">
      <c r="B70" s="187"/>
      <c r="C70" s="187"/>
      <c r="D70" s="187"/>
      <c r="E70" s="187"/>
      <c r="F70" s="187"/>
      <c r="G70" s="187"/>
      <c r="H70" s="187"/>
      <c r="I70" s="187"/>
      <c r="J70" s="187"/>
      <c r="K70" s="187"/>
      <c r="L70" s="187"/>
      <c r="M70" s="187"/>
      <c r="N70" s="216"/>
      <c r="O70" s="187"/>
      <c r="P70" s="187"/>
      <c r="Q70" s="187"/>
      <c r="R70" s="187"/>
    </row>
    <row r="71" spans="1:57" s="83" customFormat="1" ht="12.75" hidden="1" outlineLevel="2">
      <c r="A71" s="77"/>
      <c r="B71" s="202"/>
      <c r="C71" s="215"/>
      <c r="D71" s="215"/>
      <c r="E71" s="324" t="s">
        <v>265</v>
      </c>
      <c r="F71" s="325"/>
      <c r="G71" s="215"/>
      <c r="H71" s="144"/>
      <c r="I71" s="188" t="str">
        <f>IF(C55="Zelf details invoeren","m²"," ")</f>
        <v> </v>
      </c>
      <c r="J71" s="202"/>
      <c r="K71" s="144"/>
      <c r="L71" s="188" t="str">
        <f>IF(C55="Zelf details invoeren","mm"," ")</f>
        <v> </v>
      </c>
      <c r="M71" s="202"/>
      <c r="N71" s="217"/>
      <c r="O71" s="215"/>
      <c r="P71" s="215"/>
      <c r="Q71" s="215"/>
      <c r="R71" s="215"/>
      <c r="BE71" s="71"/>
    </row>
    <row r="72" spans="2:18" s="75" customFormat="1" ht="8.25" hidden="1" outlineLevel="2">
      <c r="B72" s="192"/>
      <c r="C72" s="192"/>
      <c r="D72" s="192"/>
      <c r="E72" s="192"/>
      <c r="F72" s="192"/>
      <c r="G72" s="192"/>
      <c r="H72" s="192"/>
      <c r="I72" s="192"/>
      <c r="J72" s="192"/>
      <c r="K72" s="192"/>
      <c r="L72" s="192"/>
      <c r="M72" s="192"/>
      <c r="N72" s="218"/>
      <c r="O72" s="192"/>
      <c r="P72" s="192"/>
      <c r="Q72" s="192"/>
      <c r="R72" s="192"/>
    </row>
    <row r="73" spans="2:57" ht="12.75" hidden="1" outlineLevel="2">
      <c r="B73" s="177"/>
      <c r="C73" s="200" t="s">
        <v>809</v>
      </c>
      <c r="D73" s="177"/>
      <c r="E73" s="177"/>
      <c r="F73" s="177"/>
      <c r="G73" s="177"/>
      <c r="H73" s="177"/>
      <c r="I73" s="177"/>
      <c r="J73" s="177"/>
      <c r="K73" s="177"/>
      <c r="L73" s="177"/>
      <c r="M73" s="177"/>
      <c r="N73" s="177"/>
      <c r="O73" s="177"/>
      <c r="P73" s="177"/>
      <c r="Q73" s="177"/>
      <c r="R73" s="177"/>
      <c r="BE73" s="75"/>
    </row>
    <row r="74" spans="2:18" s="71" customFormat="1" ht="6.75" hidden="1" outlineLevel="2">
      <c r="B74" s="187"/>
      <c r="C74" s="187"/>
      <c r="D74" s="187"/>
      <c r="E74" s="187"/>
      <c r="F74" s="187"/>
      <c r="G74" s="187"/>
      <c r="H74" s="187"/>
      <c r="I74" s="187"/>
      <c r="J74" s="187"/>
      <c r="K74" s="187"/>
      <c r="L74" s="187"/>
      <c r="M74" s="187"/>
      <c r="N74" s="187"/>
      <c r="O74" s="187"/>
      <c r="P74" s="187"/>
      <c r="Q74" s="187"/>
      <c r="R74" s="187"/>
    </row>
    <row r="75" spans="2:57" ht="12.75" hidden="1" outlineLevel="2">
      <c r="B75" s="177"/>
      <c r="C75" s="328" t="s">
        <v>265</v>
      </c>
      <c r="D75" s="329"/>
      <c r="E75" s="177"/>
      <c r="F75" s="177"/>
      <c r="G75" s="177"/>
      <c r="H75" s="177"/>
      <c r="I75" s="177"/>
      <c r="J75" s="177"/>
      <c r="K75" s="177"/>
      <c r="L75" s="177"/>
      <c r="M75" s="177"/>
      <c r="N75" s="177"/>
      <c r="O75" s="177"/>
      <c r="P75" s="177"/>
      <c r="Q75" s="177"/>
      <c r="R75" s="177"/>
      <c r="BE75" s="71"/>
    </row>
    <row r="76" spans="2:18" s="75" customFormat="1" ht="8.25" hidden="1" outlineLevel="2">
      <c r="B76" s="192"/>
      <c r="C76" s="192"/>
      <c r="D76" s="192"/>
      <c r="E76" s="192"/>
      <c r="F76" s="192"/>
      <c r="G76" s="192"/>
      <c r="H76" s="192"/>
      <c r="I76" s="192"/>
      <c r="J76" s="192"/>
      <c r="K76" s="192"/>
      <c r="L76" s="192"/>
      <c r="M76" s="192"/>
      <c r="N76" s="192"/>
      <c r="O76" s="192"/>
      <c r="P76" s="192"/>
      <c r="Q76" s="192"/>
      <c r="R76" s="192"/>
    </row>
    <row r="77" spans="2:57" s="81" customFormat="1" ht="11.25" hidden="1" outlineLevel="1">
      <c r="B77" s="219"/>
      <c r="C77" s="219"/>
      <c r="D77" s="219"/>
      <c r="E77" s="219"/>
      <c r="F77" s="219"/>
      <c r="G77" s="219"/>
      <c r="H77" s="219"/>
      <c r="I77" s="219"/>
      <c r="J77" s="219"/>
      <c r="K77" s="219"/>
      <c r="L77" s="219"/>
      <c r="M77" s="219"/>
      <c r="N77" s="219"/>
      <c r="O77" s="219"/>
      <c r="P77" s="219"/>
      <c r="Q77" s="219"/>
      <c r="R77" s="219"/>
      <c r="BE77" s="75"/>
    </row>
    <row r="78" spans="2:57" ht="12.75" hidden="1" outlineLevel="1">
      <c r="B78" s="177"/>
      <c r="C78" s="198" t="s">
        <v>267</v>
      </c>
      <c r="D78" s="177"/>
      <c r="E78" s="177"/>
      <c r="F78" s="177"/>
      <c r="G78" s="177"/>
      <c r="H78" s="177"/>
      <c r="I78" s="177"/>
      <c r="J78" s="177"/>
      <c r="K78" s="177"/>
      <c r="L78" s="177"/>
      <c r="M78" s="177"/>
      <c r="N78" s="177"/>
      <c r="O78" s="177"/>
      <c r="P78" s="177"/>
      <c r="Q78" s="177"/>
      <c r="R78" s="177"/>
      <c r="BE78" s="83"/>
    </row>
    <row r="79" spans="2:57" s="80" customFormat="1" ht="8.25" hidden="1" outlineLevel="2">
      <c r="B79" s="199"/>
      <c r="C79" s="199"/>
      <c r="D79" s="199"/>
      <c r="E79" s="199"/>
      <c r="F79" s="199"/>
      <c r="G79" s="199"/>
      <c r="H79" s="199"/>
      <c r="I79" s="199"/>
      <c r="J79" s="199"/>
      <c r="K79" s="199"/>
      <c r="L79" s="199"/>
      <c r="M79" s="199"/>
      <c r="N79" s="199"/>
      <c r="O79" s="199"/>
      <c r="P79" s="199"/>
      <c r="Q79" s="199"/>
      <c r="R79" s="199"/>
      <c r="BE79" s="71"/>
    </row>
    <row r="80" spans="2:57" ht="12.75" hidden="1" outlineLevel="2">
      <c r="B80" s="177"/>
      <c r="C80" s="200" t="s">
        <v>269</v>
      </c>
      <c r="D80" s="177"/>
      <c r="E80" s="177"/>
      <c r="F80" s="177"/>
      <c r="G80" s="177"/>
      <c r="H80" s="177"/>
      <c r="I80" s="177"/>
      <c r="J80" s="177"/>
      <c r="K80" s="177"/>
      <c r="L80" s="177"/>
      <c r="M80" s="177"/>
      <c r="N80" s="177"/>
      <c r="O80" s="177"/>
      <c r="P80" s="177"/>
      <c r="Q80" s="177"/>
      <c r="R80" s="177"/>
      <c r="BE80" s="83"/>
    </row>
    <row r="81" spans="2:57" s="71" customFormat="1" ht="8.25" hidden="1" outlineLevel="2">
      <c r="B81" s="187"/>
      <c r="C81" s="187"/>
      <c r="D81" s="187"/>
      <c r="E81" s="187"/>
      <c r="F81" s="187"/>
      <c r="G81" s="187"/>
      <c r="H81" s="187"/>
      <c r="I81" s="187"/>
      <c r="J81" s="187"/>
      <c r="K81" s="187"/>
      <c r="L81" s="187"/>
      <c r="M81" s="187"/>
      <c r="N81" s="187"/>
      <c r="O81" s="187"/>
      <c r="P81" s="187"/>
      <c r="Q81" s="187"/>
      <c r="R81" s="187"/>
      <c r="BE81" s="75"/>
    </row>
    <row r="82" spans="2:18" ht="12.75" hidden="1" outlineLevel="2">
      <c r="B82" s="177"/>
      <c r="C82" s="309"/>
      <c r="D82" s="188" t="s">
        <v>270</v>
      </c>
      <c r="E82" s="177"/>
      <c r="F82" s="177"/>
      <c r="G82" s="177"/>
      <c r="H82" s="177"/>
      <c r="I82" s="177"/>
      <c r="J82" s="177"/>
      <c r="K82" s="177"/>
      <c r="L82" s="177"/>
      <c r="M82" s="177"/>
      <c r="N82" s="177"/>
      <c r="O82" s="177"/>
      <c r="P82" s="177"/>
      <c r="Q82" s="177"/>
      <c r="R82" s="177"/>
    </row>
    <row r="83" spans="2:57" s="75" customFormat="1" ht="8.25" hidden="1" outlineLevel="2">
      <c r="B83" s="192"/>
      <c r="C83" s="192"/>
      <c r="D83" s="192"/>
      <c r="E83" s="192"/>
      <c r="F83" s="192"/>
      <c r="G83" s="192"/>
      <c r="H83" s="192"/>
      <c r="I83" s="192"/>
      <c r="J83" s="192"/>
      <c r="K83" s="192"/>
      <c r="L83" s="192"/>
      <c r="M83" s="192"/>
      <c r="N83" s="192"/>
      <c r="O83" s="192"/>
      <c r="P83" s="192"/>
      <c r="Q83" s="192"/>
      <c r="R83" s="192"/>
      <c r="BE83" s="71"/>
    </row>
    <row r="84" spans="2:18" ht="12.75" hidden="1" outlineLevel="2">
      <c r="B84" s="177"/>
      <c r="C84" s="200" t="s">
        <v>271</v>
      </c>
      <c r="D84" s="177"/>
      <c r="E84" s="177"/>
      <c r="F84" s="177"/>
      <c r="G84" s="177"/>
      <c r="H84" s="177"/>
      <c r="I84" s="177"/>
      <c r="J84" s="177"/>
      <c r="K84" s="177"/>
      <c r="L84" s="177"/>
      <c r="M84" s="177"/>
      <c r="N84" s="177"/>
      <c r="O84" s="177"/>
      <c r="P84" s="177"/>
      <c r="Q84" s="177"/>
      <c r="R84" s="177"/>
    </row>
    <row r="85" spans="2:57" s="71" customFormat="1" ht="8.25" hidden="1" outlineLevel="2">
      <c r="B85" s="187"/>
      <c r="C85" s="187"/>
      <c r="D85" s="187"/>
      <c r="E85" s="187"/>
      <c r="F85" s="187"/>
      <c r="G85" s="187"/>
      <c r="H85" s="187"/>
      <c r="I85" s="187"/>
      <c r="J85" s="187"/>
      <c r="K85" s="187"/>
      <c r="L85" s="187"/>
      <c r="M85" s="187"/>
      <c r="N85" s="187"/>
      <c r="O85" s="187"/>
      <c r="P85" s="187"/>
      <c r="Q85" s="187"/>
      <c r="R85" s="187"/>
      <c r="BE85" s="75"/>
    </row>
    <row r="86" spans="2:57" ht="12.75" hidden="1" outlineLevel="2">
      <c r="B86" s="177"/>
      <c r="C86" s="309"/>
      <c r="D86" s="188" t="s">
        <v>258</v>
      </c>
      <c r="E86" s="177"/>
      <c r="F86" s="177"/>
      <c r="G86" s="177"/>
      <c r="H86" s="177"/>
      <c r="I86" s="177"/>
      <c r="J86" s="177"/>
      <c r="K86" s="177"/>
      <c r="L86" s="177"/>
      <c r="M86" s="177"/>
      <c r="N86" s="177"/>
      <c r="O86" s="177"/>
      <c r="P86" s="177"/>
      <c r="Q86" s="177"/>
      <c r="R86" s="177"/>
      <c r="BE86" s="81"/>
    </row>
    <row r="87" spans="2:18" s="75" customFormat="1" ht="8.25" hidden="1" outlineLevel="2">
      <c r="B87" s="192"/>
      <c r="C87" s="192"/>
      <c r="D87" s="192"/>
      <c r="E87" s="192"/>
      <c r="F87" s="192"/>
      <c r="G87" s="192"/>
      <c r="H87" s="192"/>
      <c r="I87" s="192"/>
      <c r="J87" s="192"/>
      <c r="K87" s="192"/>
      <c r="L87" s="192"/>
      <c r="M87" s="192"/>
      <c r="N87" s="192"/>
      <c r="O87" s="192"/>
      <c r="P87" s="192"/>
      <c r="Q87" s="192"/>
      <c r="R87" s="192"/>
    </row>
    <row r="88" spans="2:57" ht="12.75" hidden="1" outlineLevel="2">
      <c r="B88" s="177"/>
      <c r="C88" s="200" t="s">
        <v>272</v>
      </c>
      <c r="D88" s="177"/>
      <c r="E88" s="177"/>
      <c r="F88" s="177"/>
      <c r="G88" s="177"/>
      <c r="H88" s="177"/>
      <c r="I88" s="177"/>
      <c r="J88" s="177"/>
      <c r="K88" s="177"/>
      <c r="L88" s="177"/>
      <c r="M88" s="177"/>
      <c r="N88" s="177"/>
      <c r="O88" s="177"/>
      <c r="P88" s="177"/>
      <c r="Q88" s="177"/>
      <c r="R88" s="177"/>
      <c r="BE88" s="80"/>
    </row>
    <row r="89" spans="2:18" s="71" customFormat="1" ht="6.75" hidden="1" outlineLevel="2">
      <c r="B89" s="187"/>
      <c r="C89" s="187"/>
      <c r="D89" s="187"/>
      <c r="E89" s="187"/>
      <c r="F89" s="187"/>
      <c r="G89" s="187"/>
      <c r="H89" s="187"/>
      <c r="I89" s="187"/>
      <c r="J89" s="187"/>
      <c r="K89" s="187"/>
      <c r="L89" s="187"/>
      <c r="M89" s="187"/>
      <c r="N89" s="187"/>
      <c r="O89" s="187"/>
      <c r="P89" s="187"/>
      <c r="Q89" s="187"/>
      <c r="R89" s="187"/>
    </row>
    <row r="90" spans="2:57" ht="12.75" hidden="1" outlineLevel="2">
      <c r="B90" s="177"/>
      <c r="C90" s="339" t="s">
        <v>265</v>
      </c>
      <c r="D90" s="340"/>
      <c r="E90" s="177"/>
      <c r="F90" s="177"/>
      <c r="G90" s="177"/>
      <c r="H90" s="177"/>
      <c r="I90" s="177"/>
      <c r="J90" s="177"/>
      <c r="K90" s="177"/>
      <c r="L90" s="177"/>
      <c r="M90" s="177"/>
      <c r="N90" s="177"/>
      <c r="O90" s="177"/>
      <c r="P90" s="177"/>
      <c r="Q90" s="177"/>
      <c r="R90" s="177"/>
      <c r="BE90" s="71"/>
    </row>
    <row r="91" spans="2:18" s="75" customFormat="1" ht="8.25" hidden="1" outlineLevel="2">
      <c r="B91" s="192"/>
      <c r="C91" s="192"/>
      <c r="D91" s="192"/>
      <c r="E91" s="192"/>
      <c r="F91" s="192"/>
      <c r="G91" s="192"/>
      <c r="H91" s="192"/>
      <c r="I91" s="192"/>
      <c r="J91" s="192"/>
      <c r="K91" s="192"/>
      <c r="L91" s="192"/>
      <c r="M91" s="192"/>
      <c r="N91" s="192"/>
      <c r="O91" s="192"/>
      <c r="P91" s="192"/>
      <c r="Q91" s="192"/>
      <c r="R91" s="192"/>
    </row>
    <row r="92" spans="2:57" s="81" customFormat="1" ht="11.25" hidden="1" outlineLevel="1">
      <c r="B92" s="219"/>
      <c r="C92" s="219"/>
      <c r="D92" s="219"/>
      <c r="E92" s="219"/>
      <c r="F92" s="219"/>
      <c r="G92" s="219"/>
      <c r="H92" s="219"/>
      <c r="I92" s="219"/>
      <c r="J92" s="219"/>
      <c r="K92" s="219"/>
      <c r="L92" s="219"/>
      <c r="M92" s="219"/>
      <c r="N92" s="219"/>
      <c r="O92" s="219"/>
      <c r="P92" s="219"/>
      <c r="Q92" s="219"/>
      <c r="R92" s="219"/>
      <c r="BE92" s="75"/>
    </row>
    <row r="93" spans="2:18" ht="12.75" hidden="1" outlineLevel="1">
      <c r="B93" s="177"/>
      <c r="C93" s="198" t="s">
        <v>612</v>
      </c>
      <c r="D93" s="177"/>
      <c r="E93" s="177"/>
      <c r="F93" s="177"/>
      <c r="G93" s="177"/>
      <c r="H93" s="177"/>
      <c r="I93" s="177"/>
      <c r="J93" s="177"/>
      <c r="K93" s="177"/>
      <c r="L93" s="177"/>
      <c r="M93" s="177"/>
      <c r="N93" s="177"/>
      <c r="O93" s="177"/>
      <c r="P93" s="177"/>
      <c r="Q93" s="177"/>
      <c r="R93" s="177"/>
    </row>
    <row r="94" spans="2:57" s="80" customFormat="1" ht="8.25" hidden="1" outlineLevel="2">
      <c r="B94" s="199"/>
      <c r="C94" s="199"/>
      <c r="D94" s="199"/>
      <c r="E94" s="199"/>
      <c r="F94" s="199"/>
      <c r="G94" s="199"/>
      <c r="H94" s="199"/>
      <c r="I94" s="199"/>
      <c r="J94" s="199"/>
      <c r="K94" s="199"/>
      <c r="L94" s="199"/>
      <c r="M94" s="199"/>
      <c r="N94" s="199"/>
      <c r="O94" s="199"/>
      <c r="P94" s="199"/>
      <c r="Q94" s="199"/>
      <c r="R94" s="199"/>
      <c r="BE94" s="71"/>
    </row>
    <row r="95" spans="2:18" ht="12.75" hidden="1" outlineLevel="2">
      <c r="B95" s="177"/>
      <c r="C95" s="200" t="s">
        <v>281</v>
      </c>
      <c r="D95" s="177"/>
      <c r="E95" s="177"/>
      <c r="F95" s="177"/>
      <c r="G95" s="177"/>
      <c r="H95" s="177"/>
      <c r="I95" s="177"/>
      <c r="J95" s="177"/>
      <c r="K95" s="210"/>
      <c r="L95" s="177"/>
      <c r="M95" s="177"/>
      <c r="N95" s="177"/>
      <c r="O95" s="177"/>
      <c r="P95" s="177"/>
      <c r="Q95" s="177"/>
      <c r="R95" s="177"/>
    </row>
    <row r="96" spans="2:57" s="71" customFormat="1" ht="8.25" hidden="1" outlineLevel="2">
      <c r="B96" s="187"/>
      <c r="C96" s="187"/>
      <c r="D96" s="187"/>
      <c r="E96" s="187"/>
      <c r="F96" s="187"/>
      <c r="G96" s="187"/>
      <c r="H96" s="187"/>
      <c r="I96" s="187"/>
      <c r="J96" s="187"/>
      <c r="K96" s="187"/>
      <c r="L96" s="187"/>
      <c r="M96" s="187"/>
      <c r="N96" s="187"/>
      <c r="O96" s="187"/>
      <c r="P96" s="187"/>
      <c r="Q96" s="187"/>
      <c r="R96" s="187"/>
      <c r="BE96" s="75"/>
    </row>
    <row r="97" spans="2:18" ht="12.75" hidden="1" outlineLevel="2">
      <c r="B97" s="177"/>
      <c r="C97" s="141"/>
      <c r="D97" s="188" t="s">
        <v>18</v>
      </c>
      <c r="E97" s="177"/>
      <c r="F97" s="177"/>
      <c r="G97" s="177"/>
      <c r="H97" s="177"/>
      <c r="I97" s="177"/>
      <c r="J97" s="177"/>
      <c r="K97" s="330"/>
      <c r="L97" s="330"/>
      <c r="M97" s="177"/>
      <c r="N97" s="177"/>
      <c r="O97" s="177"/>
      <c r="P97" s="177"/>
      <c r="Q97" s="177"/>
      <c r="R97" s="177"/>
    </row>
    <row r="98" spans="2:57" s="75" customFormat="1" ht="8.25" hidden="1" outlineLevel="2">
      <c r="B98" s="192"/>
      <c r="C98" s="192"/>
      <c r="D98" s="192"/>
      <c r="E98" s="192"/>
      <c r="F98" s="192"/>
      <c r="G98" s="192"/>
      <c r="H98" s="192"/>
      <c r="I98" s="192"/>
      <c r="J98" s="192"/>
      <c r="K98" s="192"/>
      <c r="L98" s="192"/>
      <c r="M98" s="192"/>
      <c r="N98" s="192"/>
      <c r="O98" s="192"/>
      <c r="P98" s="192"/>
      <c r="Q98" s="192"/>
      <c r="R98" s="192"/>
      <c r="BE98" s="71"/>
    </row>
    <row r="99" spans="2:18" ht="12.75" hidden="1" outlineLevel="2">
      <c r="B99" s="177"/>
      <c r="C99" s="200" t="s">
        <v>690</v>
      </c>
      <c r="D99" s="177"/>
      <c r="E99" s="177"/>
      <c r="F99" s="177"/>
      <c r="G99" s="210" t="s">
        <v>763</v>
      </c>
      <c r="H99" s="177"/>
      <c r="I99" s="177"/>
      <c r="J99" s="177"/>
      <c r="K99" s="210" t="s">
        <v>810</v>
      </c>
      <c r="L99" s="177"/>
      <c r="M99" s="177"/>
      <c r="N99" s="177"/>
      <c r="O99" s="177"/>
      <c r="P99" s="177"/>
      <c r="Q99" s="177"/>
      <c r="R99" s="177"/>
    </row>
    <row r="100" spans="2:57" s="71" customFormat="1" ht="8.25" hidden="1" outlineLevel="2">
      <c r="B100" s="187"/>
      <c r="C100" s="187"/>
      <c r="D100" s="187"/>
      <c r="E100" s="187"/>
      <c r="F100" s="187"/>
      <c r="G100" s="187"/>
      <c r="H100" s="187"/>
      <c r="I100" s="187"/>
      <c r="J100" s="187"/>
      <c r="K100" s="187"/>
      <c r="L100" s="187"/>
      <c r="M100" s="187"/>
      <c r="N100" s="187"/>
      <c r="O100" s="187"/>
      <c r="P100" s="187"/>
      <c r="Q100" s="187"/>
      <c r="R100" s="187"/>
      <c r="BE100" s="75"/>
    </row>
    <row r="101" spans="2:57" ht="12.75" hidden="1" outlineLevel="2">
      <c r="B101" s="177"/>
      <c r="C101" s="141"/>
      <c r="D101" s="188" t="s">
        <v>18</v>
      </c>
      <c r="E101" s="177"/>
      <c r="F101" s="177"/>
      <c r="G101" s="337" t="s">
        <v>265</v>
      </c>
      <c r="H101" s="338"/>
      <c r="I101" s="177"/>
      <c r="J101" s="177"/>
      <c r="K101" s="326" t="s">
        <v>265</v>
      </c>
      <c r="L101" s="327"/>
      <c r="M101" s="177"/>
      <c r="N101" s="177"/>
      <c r="O101" s="177"/>
      <c r="P101" s="177"/>
      <c r="Q101" s="177"/>
      <c r="R101" s="177"/>
      <c r="BE101" s="81"/>
    </row>
    <row r="102" spans="2:18" s="75" customFormat="1" ht="8.25" hidden="1" outlineLevel="2">
      <c r="B102" s="192"/>
      <c r="C102" s="192"/>
      <c r="D102" s="192"/>
      <c r="E102" s="192"/>
      <c r="F102" s="192"/>
      <c r="G102" s="192"/>
      <c r="H102" s="192"/>
      <c r="I102" s="192"/>
      <c r="J102" s="192"/>
      <c r="K102" s="192"/>
      <c r="L102" s="192"/>
      <c r="M102" s="192"/>
      <c r="N102" s="192"/>
      <c r="O102" s="192"/>
      <c r="P102" s="192"/>
      <c r="Q102" s="192"/>
      <c r="R102" s="192"/>
    </row>
    <row r="103" spans="2:57" s="81" customFormat="1" ht="11.25" hidden="1" outlineLevel="1">
      <c r="B103" s="219"/>
      <c r="C103" s="219"/>
      <c r="D103" s="219"/>
      <c r="E103" s="219"/>
      <c r="F103" s="219"/>
      <c r="G103" s="219"/>
      <c r="H103" s="219"/>
      <c r="I103" s="219"/>
      <c r="J103" s="219"/>
      <c r="K103" s="219"/>
      <c r="L103" s="219"/>
      <c r="M103" s="219"/>
      <c r="N103" s="219"/>
      <c r="O103" s="219"/>
      <c r="P103" s="219"/>
      <c r="Q103" s="219"/>
      <c r="R103" s="219"/>
      <c r="BE103" s="80"/>
    </row>
    <row r="104" spans="2:18" ht="12.75" hidden="1" outlineLevel="1">
      <c r="B104" s="177"/>
      <c r="C104" s="198" t="s">
        <v>282</v>
      </c>
      <c r="D104" s="177"/>
      <c r="E104" s="177"/>
      <c r="F104" s="177"/>
      <c r="G104" s="177"/>
      <c r="H104" s="177"/>
      <c r="I104" s="177"/>
      <c r="J104" s="177"/>
      <c r="K104" s="177"/>
      <c r="L104" s="177"/>
      <c r="M104" s="177"/>
      <c r="N104" s="177"/>
      <c r="O104" s="177"/>
      <c r="P104" s="177"/>
      <c r="Q104" s="177"/>
      <c r="R104" s="177"/>
    </row>
    <row r="105" spans="2:57" s="80" customFormat="1" ht="3.75" customHeight="1" hidden="1" outlineLevel="2">
      <c r="B105" s="199"/>
      <c r="C105" s="199"/>
      <c r="D105" s="199"/>
      <c r="E105" s="199"/>
      <c r="F105" s="199"/>
      <c r="G105" s="199"/>
      <c r="H105" s="199"/>
      <c r="I105" s="199"/>
      <c r="J105" s="199"/>
      <c r="K105" s="199"/>
      <c r="L105" s="199"/>
      <c r="M105" s="199"/>
      <c r="N105" s="199"/>
      <c r="O105" s="199"/>
      <c r="P105" s="199"/>
      <c r="Q105" s="199"/>
      <c r="R105" s="199"/>
      <c r="BE105" s="71"/>
    </row>
    <row r="106" spans="2:57" s="77" customFormat="1" ht="6" customHeight="1" hidden="1" outlineLevel="2">
      <c r="B106" s="202"/>
      <c r="C106" s="200"/>
      <c r="D106" s="202"/>
      <c r="E106" s="202"/>
      <c r="F106" s="202"/>
      <c r="G106" s="202"/>
      <c r="H106" s="202"/>
      <c r="I106" s="202"/>
      <c r="J106" s="202"/>
      <c r="K106" s="202"/>
      <c r="L106" s="202"/>
      <c r="M106" s="202"/>
      <c r="N106" s="202"/>
      <c r="O106" s="202"/>
      <c r="P106" s="202"/>
      <c r="Q106" s="202"/>
      <c r="R106" s="202"/>
      <c r="BE106" s="54"/>
    </row>
    <row r="107" spans="2:57" s="71" customFormat="1" ht="8.25" hidden="1" outlineLevel="2">
      <c r="B107" s="187"/>
      <c r="C107" s="187"/>
      <c r="D107" s="187"/>
      <c r="E107" s="187"/>
      <c r="F107" s="187"/>
      <c r="G107" s="187"/>
      <c r="H107" s="187"/>
      <c r="I107" s="187"/>
      <c r="J107" s="187"/>
      <c r="K107" s="187"/>
      <c r="L107" s="187"/>
      <c r="M107" s="187"/>
      <c r="N107" s="187"/>
      <c r="O107" s="187"/>
      <c r="P107" s="187"/>
      <c r="Q107" s="187"/>
      <c r="R107" s="187"/>
      <c r="BE107" s="75"/>
    </row>
    <row r="108" spans="2:57" s="77" customFormat="1" ht="5.25" customHeight="1" hidden="1" outlineLevel="2">
      <c r="B108" s="220" t="str">
        <f>IF(C108="Gestandaardiseerde berekening",1,IF(C108="Zelf details invoeren",2," "))</f>
        <v> </v>
      </c>
      <c r="C108" s="336"/>
      <c r="D108" s="336"/>
      <c r="E108" s="336"/>
      <c r="F108" s="202"/>
      <c r="G108" s="202"/>
      <c r="H108" s="202"/>
      <c r="I108" s="202"/>
      <c r="J108" s="202"/>
      <c r="K108" s="202"/>
      <c r="L108" s="202"/>
      <c r="M108" s="202"/>
      <c r="N108" s="202"/>
      <c r="O108" s="202"/>
      <c r="P108" s="202"/>
      <c r="Q108" s="202"/>
      <c r="R108" s="202"/>
      <c r="BE108" s="54"/>
    </row>
    <row r="109" spans="2:57" s="75" customFormat="1" ht="5.25" customHeight="1" hidden="1" outlineLevel="2">
      <c r="B109" s="192"/>
      <c r="C109" s="192"/>
      <c r="D109" s="192"/>
      <c r="E109" s="192"/>
      <c r="F109" s="192"/>
      <c r="G109" s="192"/>
      <c r="H109" s="192"/>
      <c r="I109" s="192"/>
      <c r="J109" s="192"/>
      <c r="K109" s="192"/>
      <c r="L109" s="192"/>
      <c r="M109" s="192"/>
      <c r="N109" s="192"/>
      <c r="O109" s="192"/>
      <c r="P109" s="192"/>
      <c r="Q109" s="192"/>
      <c r="R109" s="192"/>
      <c r="BE109" s="71"/>
    </row>
    <row r="110" spans="2:18" ht="12.75" hidden="1" outlineLevel="2">
      <c r="B110" s="177"/>
      <c r="C110" s="200" t="s">
        <v>122</v>
      </c>
      <c r="D110" s="177"/>
      <c r="E110" s="177"/>
      <c r="F110" s="210" t="s">
        <v>255</v>
      </c>
      <c r="G110" s="177"/>
      <c r="H110" s="177"/>
      <c r="I110" s="177"/>
      <c r="J110" s="177"/>
      <c r="K110" s="177"/>
      <c r="L110" s="177"/>
      <c r="M110" s="177"/>
      <c r="N110" s="177"/>
      <c r="O110" s="177"/>
      <c r="P110" s="177"/>
      <c r="Q110" s="177"/>
      <c r="R110" s="177"/>
    </row>
    <row r="111" spans="2:18" s="71" customFormat="1" ht="6.75" hidden="1" outlineLevel="2">
      <c r="B111" s="187"/>
      <c r="C111" s="187"/>
      <c r="D111" s="187"/>
      <c r="E111" s="187"/>
      <c r="F111" s="187"/>
      <c r="G111" s="187"/>
      <c r="H111" s="187"/>
      <c r="I111" s="187"/>
      <c r="J111" s="187"/>
      <c r="K111" s="187"/>
      <c r="L111" s="187"/>
      <c r="M111" s="187"/>
      <c r="N111" s="187"/>
      <c r="O111" s="187"/>
      <c r="P111" s="187"/>
      <c r="Q111" s="187"/>
      <c r="R111" s="187"/>
    </row>
    <row r="112" spans="2:57" ht="12.75" hidden="1" outlineLevel="2">
      <c r="B112" s="177"/>
      <c r="C112" s="141"/>
      <c r="D112" s="188" t="s">
        <v>18</v>
      </c>
      <c r="E112" s="177"/>
      <c r="F112" s="324" t="s">
        <v>265</v>
      </c>
      <c r="G112" s="325"/>
      <c r="H112" s="177"/>
      <c r="I112" s="177"/>
      <c r="J112" s="177"/>
      <c r="K112" s="177"/>
      <c r="L112" s="177"/>
      <c r="M112" s="177"/>
      <c r="N112" s="177"/>
      <c r="O112" s="177"/>
      <c r="P112" s="177"/>
      <c r="Q112" s="177"/>
      <c r="R112" s="177"/>
      <c r="BE112" s="81"/>
    </row>
    <row r="113" spans="2:18" s="75" customFormat="1" ht="8.25" hidden="1" outlineLevel="2">
      <c r="B113" s="192"/>
      <c r="C113" s="192"/>
      <c r="D113" s="192"/>
      <c r="E113" s="192"/>
      <c r="F113" s="192"/>
      <c r="G113" s="192"/>
      <c r="H113" s="192"/>
      <c r="I113" s="192"/>
      <c r="J113" s="192"/>
      <c r="K113" s="192"/>
      <c r="L113" s="192"/>
      <c r="M113" s="192"/>
      <c r="N113" s="192"/>
      <c r="O113" s="192"/>
      <c r="P113" s="192"/>
      <c r="Q113" s="192"/>
      <c r="R113" s="192"/>
    </row>
    <row r="114" spans="2:57" ht="12.75" hidden="1" outlineLevel="2">
      <c r="B114" s="177"/>
      <c r="C114" s="200" t="s">
        <v>124</v>
      </c>
      <c r="D114" s="177"/>
      <c r="E114" s="221"/>
      <c r="F114" s="176"/>
      <c r="G114" s="177"/>
      <c r="H114" s="177"/>
      <c r="I114" s="177"/>
      <c r="J114" s="177"/>
      <c r="K114" s="177"/>
      <c r="L114" s="177"/>
      <c r="M114" s="177"/>
      <c r="N114" s="177"/>
      <c r="O114" s="177"/>
      <c r="P114" s="177"/>
      <c r="Q114" s="177"/>
      <c r="R114" s="177"/>
      <c r="BE114" s="80"/>
    </row>
    <row r="115" spans="2:18" s="71" customFormat="1" ht="6.75" hidden="1" outlineLevel="2">
      <c r="B115" s="187"/>
      <c r="C115" s="187"/>
      <c r="D115" s="187"/>
      <c r="E115" s="186"/>
      <c r="F115" s="186"/>
      <c r="G115" s="187"/>
      <c r="H115" s="187"/>
      <c r="I115" s="187"/>
      <c r="J115" s="187"/>
      <c r="K115" s="187"/>
      <c r="L115" s="187"/>
      <c r="M115" s="187"/>
      <c r="N115" s="187"/>
      <c r="O115" s="187"/>
      <c r="P115" s="187"/>
      <c r="Q115" s="187"/>
      <c r="R115" s="187"/>
    </row>
    <row r="116" spans="2:57" ht="12.75" hidden="1" outlineLevel="2">
      <c r="B116" s="177"/>
      <c r="C116" s="141"/>
      <c r="D116" s="188" t="s">
        <v>18</v>
      </c>
      <c r="E116" s="330"/>
      <c r="F116" s="330"/>
      <c r="G116" s="177"/>
      <c r="H116" s="177"/>
      <c r="I116" s="177"/>
      <c r="J116" s="177"/>
      <c r="K116" s="177"/>
      <c r="L116" s="177"/>
      <c r="M116" s="177"/>
      <c r="N116" s="177"/>
      <c r="O116" s="177"/>
      <c r="P116" s="177"/>
      <c r="Q116" s="177"/>
      <c r="R116" s="177"/>
      <c r="BE116" s="71"/>
    </row>
    <row r="117" spans="2:18" s="75" customFormat="1" ht="8.25" hidden="1" outlineLevel="2">
      <c r="B117" s="192"/>
      <c r="C117" s="192"/>
      <c r="D117" s="192"/>
      <c r="E117" s="192"/>
      <c r="F117" s="192"/>
      <c r="G117" s="192"/>
      <c r="H117" s="192"/>
      <c r="I117" s="192"/>
      <c r="J117" s="192"/>
      <c r="K117" s="192"/>
      <c r="L117" s="192"/>
      <c r="M117" s="192"/>
      <c r="N117" s="192"/>
      <c r="O117" s="192"/>
      <c r="P117" s="192"/>
      <c r="Q117" s="192"/>
      <c r="R117" s="192"/>
    </row>
    <row r="118" spans="2:57" ht="12.75" hidden="1" outlineLevel="2">
      <c r="B118" s="177"/>
      <c r="C118" s="200" t="s">
        <v>120</v>
      </c>
      <c r="D118" s="177"/>
      <c r="E118" s="177"/>
      <c r="F118" s="210" t="s">
        <v>255</v>
      </c>
      <c r="G118" s="177"/>
      <c r="H118" s="177"/>
      <c r="I118" s="177"/>
      <c r="J118" s="177"/>
      <c r="K118" s="177"/>
      <c r="L118" s="177"/>
      <c r="M118" s="177"/>
      <c r="N118" s="177"/>
      <c r="O118" s="177"/>
      <c r="P118" s="177"/>
      <c r="Q118" s="177"/>
      <c r="R118" s="177"/>
      <c r="BE118" s="75"/>
    </row>
    <row r="119" spans="2:18" s="71" customFormat="1" ht="6.75" hidden="1" outlineLevel="2">
      <c r="B119" s="187"/>
      <c r="C119" s="187"/>
      <c r="D119" s="187"/>
      <c r="E119" s="187"/>
      <c r="F119" s="187"/>
      <c r="G119" s="187"/>
      <c r="H119" s="187"/>
      <c r="I119" s="187"/>
      <c r="J119" s="187"/>
      <c r="K119" s="187"/>
      <c r="L119" s="187"/>
      <c r="M119" s="187"/>
      <c r="N119" s="187"/>
      <c r="O119" s="187"/>
      <c r="P119" s="187"/>
      <c r="Q119" s="187"/>
      <c r="R119" s="187"/>
    </row>
    <row r="120" spans="2:57" ht="12.75" hidden="1" outlineLevel="2">
      <c r="B120" s="177"/>
      <c r="C120" s="309"/>
      <c r="D120" s="188" t="s">
        <v>18</v>
      </c>
      <c r="E120" s="177"/>
      <c r="F120" s="328" t="s">
        <v>265</v>
      </c>
      <c r="G120" s="329"/>
      <c r="H120" s="177"/>
      <c r="I120" s="177"/>
      <c r="J120" s="177"/>
      <c r="K120" s="177"/>
      <c r="L120" s="177"/>
      <c r="M120" s="177"/>
      <c r="N120" s="177"/>
      <c r="O120" s="177"/>
      <c r="P120" s="177"/>
      <c r="Q120" s="177"/>
      <c r="R120" s="177"/>
      <c r="BE120" s="71"/>
    </row>
    <row r="121" spans="2:18" s="75" customFormat="1" ht="8.25" hidden="1" outlineLevel="2">
      <c r="B121" s="192"/>
      <c r="C121" s="192"/>
      <c r="D121" s="192"/>
      <c r="E121" s="192"/>
      <c r="F121" s="192"/>
      <c r="G121" s="192"/>
      <c r="H121" s="192"/>
      <c r="I121" s="192"/>
      <c r="J121" s="192"/>
      <c r="K121" s="192"/>
      <c r="L121" s="192"/>
      <c r="M121" s="192"/>
      <c r="N121" s="192"/>
      <c r="O121" s="192"/>
      <c r="P121" s="192"/>
      <c r="Q121" s="192"/>
      <c r="R121" s="192"/>
    </row>
    <row r="122" spans="2:57" ht="12.75" hidden="1" outlineLevel="2">
      <c r="B122" s="177"/>
      <c r="C122" s="200" t="s">
        <v>283</v>
      </c>
      <c r="D122" s="177"/>
      <c r="E122" s="177"/>
      <c r="F122" s="210" t="s">
        <v>255</v>
      </c>
      <c r="G122" s="177"/>
      <c r="H122" s="177"/>
      <c r="I122" s="210" t="s">
        <v>813</v>
      </c>
      <c r="J122" s="177"/>
      <c r="K122" s="177"/>
      <c r="L122" s="177"/>
      <c r="M122" s="177"/>
      <c r="N122" s="177"/>
      <c r="O122" s="177"/>
      <c r="P122" s="177"/>
      <c r="Q122" s="177"/>
      <c r="R122" s="177"/>
      <c r="BE122" s="75"/>
    </row>
    <row r="123" spans="2:18" s="71" customFormat="1" ht="6.75" hidden="1" outlineLevel="2">
      <c r="B123" s="187"/>
      <c r="C123" s="187"/>
      <c r="D123" s="187"/>
      <c r="E123" s="187"/>
      <c r="F123" s="187"/>
      <c r="G123" s="187"/>
      <c r="H123" s="187"/>
      <c r="I123" s="187"/>
      <c r="J123" s="187"/>
      <c r="K123" s="187"/>
      <c r="L123" s="187"/>
      <c r="M123" s="187"/>
      <c r="N123" s="187"/>
      <c r="O123" s="187"/>
      <c r="P123" s="187"/>
      <c r="Q123" s="187"/>
      <c r="R123" s="187"/>
    </row>
    <row r="124" spans="2:57" ht="12.75" hidden="1" outlineLevel="2">
      <c r="B124" s="177"/>
      <c r="C124" s="141"/>
      <c r="D124" s="188" t="s">
        <v>18</v>
      </c>
      <c r="E124" s="177"/>
      <c r="F124" s="324" t="s">
        <v>265</v>
      </c>
      <c r="G124" s="325"/>
      <c r="H124" s="177"/>
      <c r="I124" s="141"/>
      <c r="J124" s="188" t="s">
        <v>685</v>
      </c>
      <c r="K124" s="177"/>
      <c r="L124" s="177"/>
      <c r="M124" s="177"/>
      <c r="N124" s="177"/>
      <c r="O124" s="177"/>
      <c r="P124" s="177"/>
      <c r="Q124" s="177"/>
      <c r="R124" s="177"/>
      <c r="BE124" s="71"/>
    </row>
    <row r="125" spans="2:18" s="75" customFormat="1" ht="8.25" hidden="1" outlineLevel="2">
      <c r="B125" s="192"/>
      <c r="C125" s="192"/>
      <c r="D125" s="192"/>
      <c r="E125" s="192"/>
      <c r="F125" s="192"/>
      <c r="G125" s="192"/>
      <c r="H125" s="192"/>
      <c r="I125" s="192"/>
      <c r="J125" s="192"/>
      <c r="K125" s="192"/>
      <c r="L125" s="192"/>
      <c r="M125" s="192"/>
      <c r="N125" s="192"/>
      <c r="O125" s="192"/>
      <c r="P125" s="192"/>
      <c r="Q125" s="192"/>
      <c r="R125" s="192"/>
    </row>
    <row r="126" spans="2:57" ht="12.75" hidden="1" outlineLevel="2">
      <c r="B126" s="177"/>
      <c r="C126" s="200" t="s">
        <v>251</v>
      </c>
      <c r="D126" s="177"/>
      <c r="E126" s="177"/>
      <c r="F126" s="210" t="s">
        <v>813</v>
      </c>
      <c r="G126" s="177"/>
      <c r="H126" s="177"/>
      <c r="I126" s="210"/>
      <c r="J126" s="177"/>
      <c r="K126" s="177"/>
      <c r="L126" s="177"/>
      <c r="M126" s="177"/>
      <c r="N126" s="177"/>
      <c r="O126" s="177"/>
      <c r="P126" s="177"/>
      <c r="Q126" s="177"/>
      <c r="R126" s="177"/>
      <c r="BE126" s="75"/>
    </row>
    <row r="127" spans="2:18" s="71" customFormat="1" ht="6.75" hidden="1" outlineLevel="2">
      <c r="B127" s="187"/>
      <c r="C127" s="187"/>
      <c r="D127" s="187"/>
      <c r="E127" s="187"/>
      <c r="F127" s="187"/>
      <c r="G127" s="187"/>
      <c r="H127" s="187"/>
      <c r="I127" s="187"/>
      <c r="J127" s="187"/>
      <c r="K127" s="187"/>
      <c r="L127" s="187"/>
      <c r="M127" s="187"/>
      <c r="N127" s="187"/>
      <c r="O127" s="187"/>
      <c r="P127" s="187"/>
      <c r="Q127" s="187"/>
      <c r="R127" s="187"/>
    </row>
    <row r="128" spans="2:57" ht="12.75" hidden="1" outlineLevel="2">
      <c r="B128" s="177"/>
      <c r="C128" s="309"/>
      <c r="D128" s="188" t="s">
        <v>18</v>
      </c>
      <c r="E128" s="177"/>
      <c r="F128" s="309"/>
      <c r="G128" s="188" t="s">
        <v>685</v>
      </c>
      <c r="H128" s="177"/>
      <c r="I128" s="144"/>
      <c r="J128" s="188"/>
      <c r="K128" s="177"/>
      <c r="L128" s="177"/>
      <c r="M128" s="177"/>
      <c r="N128" s="177"/>
      <c r="O128" s="177"/>
      <c r="P128" s="177"/>
      <c r="Q128" s="177"/>
      <c r="R128" s="177"/>
      <c r="BE128" s="71"/>
    </row>
    <row r="129" spans="2:18" s="75" customFormat="1" ht="8.25" hidden="1" outlineLevel="2">
      <c r="B129" s="192"/>
      <c r="C129" s="192"/>
      <c r="D129" s="192"/>
      <c r="E129" s="192"/>
      <c r="F129" s="192"/>
      <c r="G129" s="192"/>
      <c r="H129" s="192"/>
      <c r="I129" s="192"/>
      <c r="J129" s="192"/>
      <c r="K129" s="192"/>
      <c r="L129" s="192"/>
      <c r="M129" s="192"/>
      <c r="N129" s="192"/>
      <c r="O129" s="192"/>
      <c r="P129" s="192"/>
      <c r="Q129" s="192"/>
      <c r="R129" s="192"/>
    </row>
    <row r="130" spans="2:18" s="81" customFormat="1" ht="11.25" hidden="1" outlineLevel="1">
      <c r="B130" s="219"/>
      <c r="C130" s="219"/>
      <c r="D130" s="219"/>
      <c r="E130" s="219"/>
      <c r="F130" s="219"/>
      <c r="G130" s="219"/>
      <c r="H130" s="219"/>
      <c r="I130" s="219"/>
      <c r="J130" s="219"/>
      <c r="K130" s="219"/>
      <c r="L130" s="219"/>
      <c r="M130" s="219"/>
      <c r="N130" s="219"/>
      <c r="O130" s="219"/>
      <c r="P130" s="219"/>
      <c r="Q130" s="219"/>
      <c r="R130" s="219"/>
    </row>
    <row r="131" spans="2:18" ht="12.75" hidden="1" outlineLevel="1">
      <c r="B131" s="177"/>
      <c r="C131" s="198" t="s">
        <v>286</v>
      </c>
      <c r="D131" s="177"/>
      <c r="E131" s="177"/>
      <c r="F131" s="177"/>
      <c r="G131" s="177"/>
      <c r="H131" s="177"/>
      <c r="I131" s="177"/>
      <c r="J131" s="177"/>
      <c r="K131" s="177"/>
      <c r="L131" s="177"/>
      <c r="M131" s="177"/>
      <c r="N131" s="177"/>
      <c r="O131" s="177"/>
      <c r="P131" s="177"/>
      <c r="Q131" s="177"/>
      <c r="R131" s="177"/>
    </row>
    <row r="132" spans="2:57" s="80" customFormat="1" ht="8.25" hidden="1" outlineLevel="2">
      <c r="B132" s="199"/>
      <c r="C132" s="199"/>
      <c r="D132" s="199"/>
      <c r="E132" s="199"/>
      <c r="F132" s="199"/>
      <c r="G132" s="199"/>
      <c r="H132" s="199"/>
      <c r="I132" s="199"/>
      <c r="J132" s="199"/>
      <c r="K132" s="199"/>
      <c r="L132" s="199"/>
      <c r="M132" s="199"/>
      <c r="N132" s="199"/>
      <c r="O132" s="199"/>
      <c r="P132" s="199"/>
      <c r="Q132" s="199"/>
      <c r="R132" s="199"/>
      <c r="BE132" s="71"/>
    </row>
    <row r="133" spans="2:18" ht="12.75" hidden="1" outlineLevel="2">
      <c r="B133" s="177"/>
      <c r="C133" s="200" t="s">
        <v>128</v>
      </c>
      <c r="D133" s="177"/>
      <c r="E133" s="177"/>
      <c r="F133" s="177"/>
      <c r="G133" s="177"/>
      <c r="H133" s="177"/>
      <c r="I133" s="177"/>
      <c r="J133" s="177"/>
      <c r="K133" s="177"/>
      <c r="L133" s="177"/>
      <c r="M133" s="177"/>
      <c r="N133" s="177"/>
      <c r="O133" s="177"/>
      <c r="P133" s="177"/>
      <c r="Q133" s="177"/>
      <c r="R133" s="177"/>
    </row>
    <row r="134" spans="2:57" s="71" customFormat="1" ht="8.25" hidden="1" outlineLevel="2">
      <c r="B134" s="187"/>
      <c r="C134" s="187"/>
      <c r="D134" s="187"/>
      <c r="E134" s="187"/>
      <c r="F134" s="187"/>
      <c r="G134" s="187"/>
      <c r="H134" s="187"/>
      <c r="I134" s="187"/>
      <c r="J134" s="187"/>
      <c r="K134" s="187"/>
      <c r="L134" s="187"/>
      <c r="M134" s="187"/>
      <c r="N134" s="187"/>
      <c r="O134" s="187"/>
      <c r="P134" s="187"/>
      <c r="Q134" s="187"/>
      <c r="R134" s="187"/>
      <c r="BE134" s="75"/>
    </row>
    <row r="135" spans="2:18" ht="12.75" hidden="1" outlineLevel="2">
      <c r="B135" s="177"/>
      <c r="C135" s="141"/>
      <c r="D135" s="188" t="s">
        <v>814</v>
      </c>
      <c r="E135" s="177"/>
      <c r="F135" s="177"/>
      <c r="G135" s="177"/>
      <c r="H135" s="177"/>
      <c r="I135" s="177"/>
      <c r="J135" s="177"/>
      <c r="K135" s="177"/>
      <c r="L135" s="177"/>
      <c r="M135" s="177"/>
      <c r="N135" s="177"/>
      <c r="O135" s="177"/>
      <c r="P135" s="177"/>
      <c r="Q135" s="177"/>
      <c r="R135" s="177"/>
    </row>
    <row r="136" spans="2:57" s="75" customFormat="1" ht="8.25" hidden="1" outlineLevel="2">
      <c r="B136" s="192"/>
      <c r="C136" s="192"/>
      <c r="D136" s="192"/>
      <c r="E136" s="192"/>
      <c r="F136" s="192"/>
      <c r="G136" s="192"/>
      <c r="H136" s="192"/>
      <c r="I136" s="192"/>
      <c r="J136" s="192"/>
      <c r="K136" s="192"/>
      <c r="L136" s="192"/>
      <c r="M136" s="192"/>
      <c r="N136" s="192"/>
      <c r="O136" s="192"/>
      <c r="P136" s="192"/>
      <c r="Q136" s="192"/>
      <c r="R136" s="192"/>
      <c r="BE136" s="71"/>
    </row>
    <row r="137" spans="2:18" ht="12.75" hidden="1" outlineLevel="2">
      <c r="B137" s="177"/>
      <c r="C137" s="200" t="s">
        <v>130</v>
      </c>
      <c r="D137" s="177"/>
      <c r="E137" s="177"/>
      <c r="F137" s="177"/>
      <c r="G137" s="177"/>
      <c r="H137" s="177"/>
      <c r="I137" s="177"/>
      <c r="J137" s="177"/>
      <c r="K137" s="177"/>
      <c r="L137" s="177"/>
      <c r="M137" s="177"/>
      <c r="N137" s="177"/>
      <c r="O137" s="177"/>
      <c r="P137" s="177"/>
      <c r="Q137" s="177"/>
      <c r="R137" s="177"/>
    </row>
    <row r="138" spans="2:57" s="71" customFormat="1" ht="8.25" hidden="1" outlineLevel="2">
      <c r="B138" s="187"/>
      <c r="C138" s="187"/>
      <c r="D138" s="187"/>
      <c r="E138" s="187"/>
      <c r="F138" s="187"/>
      <c r="G138" s="187"/>
      <c r="H138" s="187"/>
      <c r="I138" s="187"/>
      <c r="J138" s="187"/>
      <c r="K138" s="187"/>
      <c r="L138" s="187"/>
      <c r="M138" s="187"/>
      <c r="N138" s="187"/>
      <c r="O138" s="187"/>
      <c r="P138" s="187"/>
      <c r="Q138" s="187"/>
      <c r="R138" s="187"/>
      <c r="BE138" s="75"/>
    </row>
    <row r="139" spans="2:57" ht="12.75" hidden="1" outlineLevel="2">
      <c r="B139" s="177"/>
      <c r="C139" s="141"/>
      <c r="D139" s="188" t="s">
        <v>814</v>
      </c>
      <c r="E139" s="177"/>
      <c r="F139" s="177"/>
      <c r="G139" s="177"/>
      <c r="H139" s="177"/>
      <c r="I139" s="177"/>
      <c r="J139" s="177"/>
      <c r="K139" s="177"/>
      <c r="L139" s="177"/>
      <c r="M139" s="177"/>
      <c r="N139" s="177"/>
      <c r="O139" s="177"/>
      <c r="P139" s="177"/>
      <c r="Q139" s="177"/>
      <c r="R139" s="177"/>
      <c r="BE139" s="81"/>
    </row>
    <row r="140" spans="2:18" s="81" customFormat="1" ht="11.25" hidden="1" outlineLevel="1">
      <c r="B140" s="219"/>
      <c r="C140" s="219"/>
      <c r="D140" s="219"/>
      <c r="E140" s="219"/>
      <c r="F140" s="219"/>
      <c r="G140" s="219"/>
      <c r="H140" s="219"/>
      <c r="I140" s="219"/>
      <c r="J140" s="219"/>
      <c r="K140" s="219"/>
      <c r="L140" s="219"/>
      <c r="M140" s="219"/>
      <c r="N140" s="219"/>
      <c r="O140" s="219"/>
      <c r="P140" s="219"/>
      <c r="Q140" s="219"/>
      <c r="R140" s="219"/>
    </row>
    <row r="141" spans="2:57" ht="12.75" hidden="1" outlineLevel="1">
      <c r="B141" s="177"/>
      <c r="C141" s="198" t="s">
        <v>767</v>
      </c>
      <c r="D141" s="177"/>
      <c r="E141" s="177"/>
      <c r="F141" s="177"/>
      <c r="G141" s="177"/>
      <c r="H141" s="177"/>
      <c r="I141" s="177"/>
      <c r="J141" s="177"/>
      <c r="K141" s="177"/>
      <c r="L141" s="177"/>
      <c r="M141" s="177"/>
      <c r="N141" s="177"/>
      <c r="O141" s="177"/>
      <c r="P141" s="177"/>
      <c r="Q141" s="177"/>
      <c r="R141" s="177"/>
      <c r="BE141" s="80"/>
    </row>
    <row r="142" spans="2:18" s="80" customFormat="1" ht="8.25" hidden="1" outlineLevel="2">
      <c r="B142" s="199"/>
      <c r="C142" s="199"/>
      <c r="D142" s="199"/>
      <c r="E142" s="199"/>
      <c r="F142" s="199"/>
      <c r="G142" s="199"/>
      <c r="H142" s="199"/>
      <c r="I142" s="199"/>
      <c r="J142" s="199"/>
      <c r="K142" s="199"/>
      <c r="L142" s="199"/>
      <c r="M142" s="199"/>
      <c r="N142" s="199"/>
      <c r="O142" s="199"/>
      <c r="P142" s="199"/>
      <c r="Q142" s="199"/>
      <c r="R142" s="199"/>
    </row>
    <row r="143" spans="2:57" ht="12.75" hidden="1" outlineLevel="2">
      <c r="B143" s="177"/>
      <c r="C143" s="222" t="s">
        <v>287</v>
      </c>
      <c r="D143" s="177"/>
      <c r="E143" s="177"/>
      <c r="F143" s="177"/>
      <c r="G143" s="210" t="s">
        <v>289</v>
      </c>
      <c r="H143" s="177"/>
      <c r="I143" s="210" t="s">
        <v>290</v>
      </c>
      <c r="J143" s="177"/>
      <c r="K143" s="177"/>
      <c r="L143" s="177"/>
      <c r="M143" s="177"/>
      <c r="N143" s="177"/>
      <c r="O143" s="177"/>
      <c r="P143" s="177"/>
      <c r="Q143" s="177"/>
      <c r="R143" s="177"/>
      <c r="BE143" s="71"/>
    </row>
    <row r="144" spans="2:18" s="71" customFormat="1" ht="6.75" hidden="1" outlineLevel="2">
      <c r="B144" s="187"/>
      <c r="C144" s="187"/>
      <c r="D144" s="187"/>
      <c r="E144" s="187"/>
      <c r="F144" s="187"/>
      <c r="G144" s="187"/>
      <c r="H144" s="187"/>
      <c r="I144" s="187"/>
      <c r="J144" s="187"/>
      <c r="K144" s="187"/>
      <c r="L144" s="187"/>
      <c r="M144" s="187"/>
      <c r="N144" s="187"/>
      <c r="O144" s="187"/>
      <c r="P144" s="187"/>
      <c r="Q144" s="187"/>
      <c r="R144" s="187"/>
    </row>
    <row r="145" spans="2:57" ht="12.75" hidden="1" outlineLevel="2">
      <c r="B145" s="177"/>
      <c r="C145" s="223" t="s">
        <v>288</v>
      </c>
      <c r="D145" s="177"/>
      <c r="E145" s="309"/>
      <c r="F145" s="188" t="s">
        <v>18</v>
      </c>
      <c r="G145" s="309"/>
      <c r="H145" s="188" t="s">
        <v>254</v>
      </c>
      <c r="I145" s="328" t="s">
        <v>265</v>
      </c>
      <c r="J145" s="329"/>
      <c r="K145" s="177"/>
      <c r="L145" s="177"/>
      <c r="M145" s="177"/>
      <c r="N145" s="177"/>
      <c r="O145" s="177"/>
      <c r="P145" s="177"/>
      <c r="Q145" s="177"/>
      <c r="R145" s="177"/>
      <c r="BE145" s="75"/>
    </row>
    <row r="146" spans="2:18" s="71" customFormat="1" ht="6.75" hidden="1" outlineLevel="2">
      <c r="B146" s="187"/>
      <c r="C146" s="187"/>
      <c r="D146" s="187"/>
      <c r="E146" s="187"/>
      <c r="F146" s="187"/>
      <c r="G146" s="187"/>
      <c r="H146" s="187"/>
      <c r="I146" s="187"/>
      <c r="J146" s="187"/>
      <c r="K146" s="187"/>
      <c r="L146" s="187"/>
      <c r="M146" s="187"/>
      <c r="N146" s="187"/>
      <c r="O146" s="187"/>
      <c r="P146" s="187"/>
      <c r="Q146" s="187"/>
      <c r="R146" s="187"/>
    </row>
    <row r="147" spans="2:57" ht="12.75" hidden="1" outlineLevel="2">
      <c r="B147" s="177"/>
      <c r="C147" s="223" t="s">
        <v>291</v>
      </c>
      <c r="D147" s="177"/>
      <c r="E147" s="309"/>
      <c r="F147" s="188" t="s">
        <v>18</v>
      </c>
      <c r="G147" s="309"/>
      <c r="H147" s="188" t="s">
        <v>254</v>
      </c>
      <c r="I147" s="328" t="s">
        <v>265</v>
      </c>
      <c r="J147" s="329"/>
      <c r="K147" s="177"/>
      <c r="L147" s="177"/>
      <c r="M147" s="177"/>
      <c r="N147" s="177"/>
      <c r="O147" s="177"/>
      <c r="P147" s="177"/>
      <c r="Q147" s="177"/>
      <c r="R147" s="177"/>
      <c r="BE147" s="71"/>
    </row>
    <row r="148" spans="2:18" s="71" customFormat="1" ht="6.75" hidden="1" outlineLevel="2">
      <c r="B148" s="187"/>
      <c r="C148" s="187"/>
      <c r="D148" s="187"/>
      <c r="E148" s="187"/>
      <c r="F148" s="187"/>
      <c r="G148" s="187"/>
      <c r="H148" s="187"/>
      <c r="I148" s="187"/>
      <c r="J148" s="187"/>
      <c r="K148" s="187"/>
      <c r="L148" s="187"/>
      <c r="M148" s="187"/>
      <c r="N148" s="187"/>
      <c r="O148" s="187"/>
      <c r="P148" s="187"/>
      <c r="Q148" s="187"/>
      <c r="R148" s="187"/>
    </row>
    <row r="149" spans="2:57" ht="12.75" hidden="1" outlineLevel="2">
      <c r="B149" s="177"/>
      <c r="C149" s="223" t="s">
        <v>292</v>
      </c>
      <c r="D149" s="177"/>
      <c r="E149" s="309"/>
      <c r="F149" s="188" t="s">
        <v>18</v>
      </c>
      <c r="G149" s="309"/>
      <c r="H149" s="188" t="s">
        <v>254</v>
      </c>
      <c r="I149" s="328" t="s">
        <v>265</v>
      </c>
      <c r="J149" s="329"/>
      <c r="K149" s="177"/>
      <c r="L149" s="177"/>
      <c r="M149" s="177"/>
      <c r="N149" s="177"/>
      <c r="O149" s="177"/>
      <c r="P149" s="177"/>
      <c r="Q149" s="177"/>
      <c r="R149" s="177"/>
      <c r="BE149" s="81"/>
    </row>
    <row r="150" spans="2:18" s="71" customFormat="1" ht="6.75" hidden="1" outlineLevel="2">
      <c r="B150" s="187"/>
      <c r="C150" s="187"/>
      <c r="D150" s="187"/>
      <c r="E150" s="187"/>
      <c r="F150" s="187"/>
      <c r="G150" s="187"/>
      <c r="H150" s="187"/>
      <c r="I150" s="187"/>
      <c r="J150" s="187"/>
      <c r="K150" s="187"/>
      <c r="L150" s="187"/>
      <c r="M150" s="187"/>
      <c r="N150" s="187"/>
      <c r="O150" s="187"/>
      <c r="P150" s="187"/>
      <c r="Q150" s="187"/>
      <c r="R150" s="187"/>
    </row>
    <row r="151" spans="2:57" ht="12.75" hidden="1" outlineLevel="2">
      <c r="B151" s="177"/>
      <c r="C151" s="223" t="s">
        <v>299</v>
      </c>
      <c r="D151" s="177"/>
      <c r="E151" s="309"/>
      <c r="F151" s="188" t="s">
        <v>18</v>
      </c>
      <c r="G151" s="309"/>
      <c r="H151" s="188" t="s">
        <v>254</v>
      </c>
      <c r="I151" s="328" t="s">
        <v>265</v>
      </c>
      <c r="J151" s="329"/>
      <c r="K151" s="177"/>
      <c r="L151" s="177"/>
      <c r="M151" s="177"/>
      <c r="N151" s="177"/>
      <c r="O151" s="177"/>
      <c r="P151" s="177"/>
      <c r="Q151" s="177"/>
      <c r="R151" s="177"/>
      <c r="BE151" s="80"/>
    </row>
    <row r="152" spans="2:18" s="75" customFormat="1" ht="8.25" hidden="1" outlineLevel="2">
      <c r="B152" s="192"/>
      <c r="C152" s="192"/>
      <c r="D152" s="192"/>
      <c r="E152" s="192"/>
      <c r="F152" s="192"/>
      <c r="G152" s="192"/>
      <c r="H152" s="192"/>
      <c r="I152" s="192"/>
      <c r="J152" s="192"/>
      <c r="K152" s="192"/>
      <c r="L152" s="192"/>
      <c r="M152" s="192"/>
      <c r="N152" s="192"/>
      <c r="O152" s="192"/>
      <c r="P152" s="192"/>
      <c r="Q152" s="192"/>
      <c r="R152" s="192"/>
    </row>
    <row r="153" spans="2:57" ht="12.75" hidden="1" outlineLevel="2">
      <c r="B153" s="177"/>
      <c r="C153" s="222" t="s">
        <v>293</v>
      </c>
      <c r="D153" s="177"/>
      <c r="E153" s="177"/>
      <c r="F153" s="177"/>
      <c r="G153" s="210" t="s">
        <v>289</v>
      </c>
      <c r="H153" s="177"/>
      <c r="I153" s="210" t="s">
        <v>290</v>
      </c>
      <c r="J153" s="177"/>
      <c r="K153" s="177"/>
      <c r="L153" s="177"/>
      <c r="M153" s="177"/>
      <c r="N153" s="177"/>
      <c r="O153" s="177"/>
      <c r="P153" s="177"/>
      <c r="Q153" s="177"/>
      <c r="R153" s="177"/>
      <c r="BE153" s="71"/>
    </row>
    <row r="154" spans="2:18" s="71" customFormat="1" ht="6.75" hidden="1" outlineLevel="2">
      <c r="B154" s="187"/>
      <c r="C154" s="187"/>
      <c r="D154" s="187"/>
      <c r="E154" s="187"/>
      <c r="F154" s="187"/>
      <c r="G154" s="187"/>
      <c r="H154" s="187"/>
      <c r="I154" s="187"/>
      <c r="J154" s="187"/>
      <c r="K154" s="187"/>
      <c r="L154" s="187"/>
      <c r="M154" s="187"/>
      <c r="N154" s="187"/>
      <c r="O154" s="187"/>
      <c r="P154" s="187"/>
      <c r="Q154" s="187"/>
      <c r="R154" s="187"/>
    </row>
    <row r="155" spans="2:57" ht="12.75" hidden="1" outlineLevel="2">
      <c r="B155" s="177"/>
      <c r="C155" s="223" t="s">
        <v>294</v>
      </c>
      <c r="D155" s="177"/>
      <c r="E155" s="141"/>
      <c r="F155" s="188" t="s">
        <v>18</v>
      </c>
      <c r="G155" s="141"/>
      <c r="H155" s="188" t="s">
        <v>254</v>
      </c>
      <c r="I155" s="326" t="s">
        <v>265</v>
      </c>
      <c r="J155" s="327"/>
      <c r="K155" s="177"/>
      <c r="L155" s="177"/>
      <c r="M155" s="177"/>
      <c r="N155" s="177"/>
      <c r="O155" s="177"/>
      <c r="P155" s="177"/>
      <c r="Q155" s="177"/>
      <c r="R155" s="177"/>
      <c r="BE155" s="71"/>
    </row>
    <row r="156" spans="2:18" s="71" customFormat="1" ht="6.75" hidden="1" outlineLevel="2">
      <c r="B156" s="187"/>
      <c r="C156" s="187"/>
      <c r="D156" s="187"/>
      <c r="E156" s="187"/>
      <c r="F156" s="187"/>
      <c r="G156" s="187"/>
      <c r="H156" s="187"/>
      <c r="I156" s="187"/>
      <c r="J156" s="187"/>
      <c r="K156" s="187"/>
      <c r="L156" s="187"/>
      <c r="M156" s="187"/>
      <c r="N156" s="187"/>
      <c r="O156" s="187"/>
      <c r="P156" s="187"/>
      <c r="Q156" s="187"/>
      <c r="R156" s="187"/>
    </row>
    <row r="157" spans="2:57" ht="12.75" hidden="1" outlineLevel="2">
      <c r="B157" s="177"/>
      <c r="C157" s="223" t="s">
        <v>295</v>
      </c>
      <c r="D157" s="177"/>
      <c r="E157" s="141"/>
      <c r="F157" s="188" t="s">
        <v>18</v>
      </c>
      <c r="G157" s="141"/>
      <c r="H157" s="188" t="s">
        <v>254</v>
      </c>
      <c r="I157" s="324" t="s">
        <v>265</v>
      </c>
      <c r="J157" s="325"/>
      <c r="K157" s="177"/>
      <c r="L157" s="177"/>
      <c r="M157" s="177"/>
      <c r="N157" s="177"/>
      <c r="O157" s="177"/>
      <c r="P157" s="177"/>
      <c r="Q157" s="177"/>
      <c r="R157" s="177"/>
      <c r="BE157" s="71"/>
    </row>
    <row r="158" spans="2:18" s="71" customFormat="1" ht="6.75" hidden="1" outlineLevel="2">
      <c r="B158" s="187"/>
      <c r="C158" s="187"/>
      <c r="D158" s="187"/>
      <c r="E158" s="187"/>
      <c r="F158" s="187"/>
      <c r="G158" s="187"/>
      <c r="H158" s="187"/>
      <c r="I158" s="187"/>
      <c r="J158" s="187"/>
      <c r="K158" s="187"/>
      <c r="L158" s="187"/>
      <c r="M158" s="187"/>
      <c r="N158" s="187"/>
      <c r="O158" s="187"/>
      <c r="P158" s="187"/>
      <c r="Q158" s="187"/>
      <c r="R158" s="187"/>
    </row>
    <row r="159" spans="2:57" ht="12.75" hidden="1" outlineLevel="2">
      <c r="B159" s="177"/>
      <c r="C159" s="223" t="s">
        <v>296</v>
      </c>
      <c r="D159" s="177"/>
      <c r="E159" s="141"/>
      <c r="F159" s="188" t="s">
        <v>18</v>
      </c>
      <c r="G159" s="141"/>
      <c r="H159" s="188" t="s">
        <v>254</v>
      </c>
      <c r="I159" s="324" t="s">
        <v>265</v>
      </c>
      <c r="J159" s="325"/>
      <c r="K159" s="177"/>
      <c r="L159" s="177"/>
      <c r="M159" s="177"/>
      <c r="N159" s="177"/>
      <c r="O159" s="177"/>
      <c r="P159" s="177"/>
      <c r="Q159" s="177"/>
      <c r="R159" s="177"/>
      <c r="BE159" s="71"/>
    </row>
    <row r="160" spans="2:18" s="71" customFormat="1" ht="6.75" hidden="1" outlineLevel="2">
      <c r="B160" s="187"/>
      <c r="C160" s="187"/>
      <c r="D160" s="187"/>
      <c r="E160" s="187"/>
      <c r="F160" s="187"/>
      <c r="G160" s="187"/>
      <c r="H160" s="187"/>
      <c r="I160" s="187"/>
      <c r="J160" s="187"/>
      <c r="K160" s="187"/>
      <c r="L160" s="187"/>
      <c r="M160" s="187"/>
      <c r="N160" s="187"/>
      <c r="O160" s="187"/>
      <c r="P160" s="187"/>
      <c r="Q160" s="187"/>
      <c r="R160" s="187"/>
    </row>
    <row r="161" spans="2:57" ht="12.75" hidden="1" outlineLevel="2">
      <c r="B161" s="177"/>
      <c r="C161" s="223" t="s">
        <v>297</v>
      </c>
      <c r="D161" s="177"/>
      <c r="E161" s="141"/>
      <c r="F161" s="188" t="s">
        <v>18</v>
      </c>
      <c r="G161" s="141"/>
      <c r="H161" s="188" t="s">
        <v>254</v>
      </c>
      <c r="I161" s="324" t="s">
        <v>265</v>
      </c>
      <c r="J161" s="325"/>
      <c r="K161" s="177"/>
      <c r="L161" s="177"/>
      <c r="M161" s="177"/>
      <c r="N161" s="177"/>
      <c r="O161" s="177"/>
      <c r="P161" s="177"/>
      <c r="Q161" s="177"/>
      <c r="R161" s="177"/>
      <c r="BE161" s="81"/>
    </row>
    <row r="162" spans="2:18" s="75" customFormat="1" ht="8.25" hidden="1" outlineLevel="2">
      <c r="B162" s="192"/>
      <c r="C162" s="192"/>
      <c r="D162" s="192"/>
      <c r="E162" s="192"/>
      <c r="F162" s="192"/>
      <c r="G162" s="192"/>
      <c r="H162" s="192"/>
      <c r="I162" s="192"/>
      <c r="J162" s="192"/>
      <c r="K162" s="192"/>
      <c r="L162" s="192"/>
      <c r="M162" s="192"/>
      <c r="N162" s="192"/>
      <c r="O162" s="192"/>
      <c r="P162" s="192"/>
      <c r="Q162" s="192"/>
      <c r="R162" s="192"/>
    </row>
    <row r="163" spans="2:57" ht="12.75" hidden="1" outlineLevel="2">
      <c r="B163" s="177"/>
      <c r="C163" s="222" t="s">
        <v>298</v>
      </c>
      <c r="D163" s="177"/>
      <c r="E163" s="177"/>
      <c r="F163" s="177"/>
      <c r="G163" s="210" t="s">
        <v>289</v>
      </c>
      <c r="H163" s="177"/>
      <c r="I163" s="210" t="s">
        <v>290</v>
      </c>
      <c r="J163" s="177"/>
      <c r="K163" s="177"/>
      <c r="L163" s="177"/>
      <c r="M163" s="177"/>
      <c r="N163" s="177"/>
      <c r="O163" s="177"/>
      <c r="P163" s="177"/>
      <c r="Q163" s="177"/>
      <c r="R163" s="177"/>
      <c r="BE163" s="71"/>
    </row>
    <row r="164" spans="2:18" s="71" customFormat="1" ht="6.75" hidden="1" outlineLevel="2">
      <c r="B164" s="187"/>
      <c r="C164" s="187"/>
      <c r="D164" s="187"/>
      <c r="E164" s="187"/>
      <c r="F164" s="187"/>
      <c r="G164" s="187"/>
      <c r="H164" s="187"/>
      <c r="I164" s="187"/>
      <c r="J164" s="187"/>
      <c r="K164" s="187"/>
      <c r="L164" s="187"/>
      <c r="M164" s="187"/>
      <c r="N164" s="187"/>
      <c r="O164" s="187"/>
      <c r="P164" s="187"/>
      <c r="Q164" s="187"/>
      <c r="R164" s="187"/>
    </row>
    <row r="165" spans="2:57" ht="12.75" hidden="1" outlineLevel="2">
      <c r="B165" s="177"/>
      <c r="C165" s="223" t="s">
        <v>288</v>
      </c>
      <c r="D165" s="177"/>
      <c r="E165" s="309"/>
      <c r="F165" s="188" t="s">
        <v>18</v>
      </c>
      <c r="G165" s="309"/>
      <c r="H165" s="188" t="s">
        <v>254</v>
      </c>
      <c r="I165" s="328" t="s">
        <v>265</v>
      </c>
      <c r="J165" s="329"/>
      <c r="K165" s="177"/>
      <c r="L165" s="177"/>
      <c r="M165" s="177"/>
      <c r="N165" s="177"/>
      <c r="O165" s="177"/>
      <c r="P165" s="177"/>
      <c r="Q165" s="177"/>
      <c r="R165" s="177"/>
      <c r="BE165" s="71"/>
    </row>
    <row r="166" spans="2:18" s="71" customFormat="1" ht="6.75" hidden="1" outlineLevel="2">
      <c r="B166" s="187"/>
      <c r="C166" s="187"/>
      <c r="D166" s="187"/>
      <c r="E166" s="187"/>
      <c r="F166" s="187"/>
      <c r="G166" s="187"/>
      <c r="H166" s="187"/>
      <c r="I166" s="187"/>
      <c r="J166" s="187"/>
      <c r="K166" s="187"/>
      <c r="L166" s="187"/>
      <c r="M166" s="187"/>
      <c r="N166" s="187"/>
      <c r="O166" s="187"/>
      <c r="P166" s="187"/>
      <c r="Q166" s="187"/>
      <c r="R166" s="187"/>
    </row>
    <row r="167" spans="2:57" ht="12.75" hidden="1" outlineLevel="2">
      <c r="B167" s="177"/>
      <c r="C167" s="223" t="s">
        <v>291</v>
      </c>
      <c r="D167" s="177"/>
      <c r="E167" s="309"/>
      <c r="F167" s="188" t="s">
        <v>18</v>
      </c>
      <c r="G167" s="309"/>
      <c r="H167" s="188" t="s">
        <v>254</v>
      </c>
      <c r="I167" s="328" t="s">
        <v>265</v>
      </c>
      <c r="J167" s="329"/>
      <c r="K167" s="177"/>
      <c r="L167" s="177"/>
      <c r="M167" s="177"/>
      <c r="N167" s="177"/>
      <c r="O167" s="177"/>
      <c r="P167" s="177"/>
      <c r="Q167" s="177"/>
      <c r="R167" s="177"/>
      <c r="BE167" s="71"/>
    </row>
    <row r="168" spans="2:18" s="71" customFormat="1" ht="6.75" hidden="1" outlineLevel="2">
      <c r="B168" s="187"/>
      <c r="C168" s="187"/>
      <c r="D168" s="187"/>
      <c r="E168" s="187"/>
      <c r="F168" s="187"/>
      <c r="G168" s="187"/>
      <c r="H168" s="187"/>
      <c r="I168" s="187"/>
      <c r="J168" s="187"/>
      <c r="K168" s="187"/>
      <c r="L168" s="187"/>
      <c r="M168" s="187"/>
      <c r="N168" s="187"/>
      <c r="O168" s="187"/>
      <c r="P168" s="187"/>
      <c r="Q168" s="187"/>
      <c r="R168" s="187"/>
    </row>
    <row r="169" spans="2:57" ht="12.75" hidden="1" outlineLevel="2">
      <c r="B169" s="177"/>
      <c r="C169" s="223" t="s">
        <v>292</v>
      </c>
      <c r="D169" s="177"/>
      <c r="E169" s="309"/>
      <c r="F169" s="188" t="s">
        <v>18</v>
      </c>
      <c r="G169" s="309"/>
      <c r="H169" s="188" t="s">
        <v>254</v>
      </c>
      <c r="I169" s="328" t="s">
        <v>265</v>
      </c>
      <c r="J169" s="329"/>
      <c r="K169" s="177"/>
      <c r="L169" s="177"/>
      <c r="M169" s="177"/>
      <c r="N169" s="177"/>
      <c r="O169" s="177"/>
      <c r="P169" s="177"/>
      <c r="Q169" s="177"/>
      <c r="R169" s="177"/>
      <c r="BE169" s="71"/>
    </row>
    <row r="170" spans="2:18" s="71" customFormat="1" ht="6.75" hidden="1" outlineLevel="2">
      <c r="B170" s="187"/>
      <c r="C170" s="187"/>
      <c r="D170" s="187"/>
      <c r="E170" s="187"/>
      <c r="F170" s="187"/>
      <c r="G170" s="187"/>
      <c r="H170" s="187"/>
      <c r="I170" s="187"/>
      <c r="J170" s="187"/>
      <c r="K170" s="187"/>
      <c r="L170" s="187"/>
      <c r="M170" s="187"/>
      <c r="N170" s="187"/>
      <c r="O170" s="187"/>
      <c r="P170" s="187"/>
      <c r="Q170" s="187"/>
      <c r="R170" s="187"/>
    </row>
    <row r="171" spans="2:57" ht="12.75" hidden="1" outlineLevel="2">
      <c r="B171" s="177"/>
      <c r="C171" s="223" t="s">
        <v>299</v>
      </c>
      <c r="D171" s="177"/>
      <c r="E171" s="309"/>
      <c r="F171" s="188" t="s">
        <v>18</v>
      </c>
      <c r="G171" s="309"/>
      <c r="H171" s="188" t="s">
        <v>254</v>
      </c>
      <c r="I171" s="328" t="s">
        <v>265</v>
      </c>
      <c r="J171" s="329"/>
      <c r="K171" s="177"/>
      <c r="L171" s="177"/>
      <c r="M171" s="177"/>
      <c r="N171" s="177"/>
      <c r="O171" s="177"/>
      <c r="P171" s="177"/>
      <c r="Q171" s="177"/>
      <c r="R171" s="177"/>
      <c r="BE171" s="81"/>
    </row>
    <row r="172" spans="2:18" s="75" customFormat="1" ht="8.25" hidden="1" outlineLevel="2">
      <c r="B172" s="192"/>
      <c r="C172" s="192"/>
      <c r="D172" s="192"/>
      <c r="E172" s="192"/>
      <c r="F172" s="192"/>
      <c r="G172" s="192"/>
      <c r="H172" s="192"/>
      <c r="I172" s="192"/>
      <c r="J172" s="192"/>
      <c r="K172" s="192"/>
      <c r="L172" s="192"/>
      <c r="M172" s="192"/>
      <c r="N172" s="192"/>
      <c r="O172" s="192"/>
      <c r="P172" s="192"/>
      <c r="Q172" s="192"/>
      <c r="R172" s="192"/>
    </row>
    <row r="173" spans="2:57" ht="12.75" hidden="1" outlineLevel="2">
      <c r="B173" s="177"/>
      <c r="C173" s="222" t="s">
        <v>300</v>
      </c>
      <c r="D173" s="177"/>
      <c r="E173" s="177"/>
      <c r="F173" s="177"/>
      <c r="G173" s="210" t="s">
        <v>289</v>
      </c>
      <c r="H173" s="177"/>
      <c r="I173" s="210" t="s">
        <v>290</v>
      </c>
      <c r="J173" s="177"/>
      <c r="K173" s="177"/>
      <c r="L173" s="177"/>
      <c r="M173" s="177"/>
      <c r="N173" s="177"/>
      <c r="O173" s="177"/>
      <c r="P173" s="177"/>
      <c r="Q173" s="177"/>
      <c r="R173" s="177"/>
      <c r="BE173" s="71"/>
    </row>
    <row r="174" spans="2:18" s="71" customFormat="1" ht="6.75" hidden="1" outlineLevel="2">
      <c r="B174" s="187"/>
      <c r="C174" s="187"/>
      <c r="D174" s="187"/>
      <c r="E174" s="187"/>
      <c r="F174" s="187"/>
      <c r="G174" s="187"/>
      <c r="H174" s="187"/>
      <c r="I174" s="187"/>
      <c r="J174" s="187"/>
      <c r="K174" s="187"/>
      <c r="L174" s="187"/>
      <c r="M174" s="187"/>
      <c r="N174" s="187"/>
      <c r="O174" s="187"/>
      <c r="P174" s="187"/>
      <c r="Q174" s="187"/>
      <c r="R174" s="187"/>
    </row>
    <row r="175" spans="2:57" ht="12.75" hidden="1" outlineLevel="2">
      <c r="B175" s="177"/>
      <c r="C175" s="223" t="s">
        <v>301</v>
      </c>
      <c r="D175" s="177"/>
      <c r="E175" s="141"/>
      <c r="F175" s="188" t="s">
        <v>18</v>
      </c>
      <c r="G175" s="141"/>
      <c r="H175" s="188" t="s">
        <v>254</v>
      </c>
      <c r="I175" s="326" t="s">
        <v>265</v>
      </c>
      <c r="J175" s="327"/>
      <c r="K175" s="177"/>
      <c r="L175" s="177"/>
      <c r="M175" s="177"/>
      <c r="N175" s="177"/>
      <c r="O175" s="177"/>
      <c r="P175" s="177"/>
      <c r="Q175" s="177"/>
      <c r="R175" s="177"/>
      <c r="BE175" s="71"/>
    </row>
    <row r="176" spans="2:18" s="71" customFormat="1" ht="6.75" hidden="1" outlineLevel="2">
      <c r="B176" s="187"/>
      <c r="C176" s="187"/>
      <c r="D176" s="187"/>
      <c r="E176" s="187"/>
      <c r="F176" s="187"/>
      <c r="G176" s="187"/>
      <c r="H176" s="187"/>
      <c r="I176" s="187"/>
      <c r="J176" s="187"/>
      <c r="K176" s="187"/>
      <c r="L176" s="187"/>
      <c r="M176" s="187"/>
      <c r="N176" s="187"/>
      <c r="O176" s="187"/>
      <c r="P176" s="187"/>
      <c r="Q176" s="187"/>
      <c r="R176" s="187"/>
    </row>
    <row r="177" spans="2:57" ht="12.75" hidden="1" outlineLevel="2">
      <c r="B177" s="177"/>
      <c r="C177" s="223" t="s">
        <v>302</v>
      </c>
      <c r="D177" s="177"/>
      <c r="E177" s="141"/>
      <c r="F177" s="188" t="s">
        <v>18</v>
      </c>
      <c r="G177" s="141"/>
      <c r="H177" s="188" t="s">
        <v>254</v>
      </c>
      <c r="I177" s="324" t="s">
        <v>265</v>
      </c>
      <c r="J177" s="325"/>
      <c r="K177" s="177"/>
      <c r="L177" s="177"/>
      <c r="M177" s="177"/>
      <c r="N177" s="177"/>
      <c r="O177" s="177"/>
      <c r="P177" s="177"/>
      <c r="Q177" s="177"/>
      <c r="R177" s="177"/>
      <c r="BE177" s="71"/>
    </row>
    <row r="178" spans="2:18" s="71" customFormat="1" ht="6.75" hidden="1" outlineLevel="2">
      <c r="B178" s="187"/>
      <c r="C178" s="187"/>
      <c r="D178" s="187"/>
      <c r="E178" s="187"/>
      <c r="F178" s="187"/>
      <c r="G178" s="187"/>
      <c r="H178" s="187"/>
      <c r="I178" s="187"/>
      <c r="J178" s="187"/>
      <c r="K178" s="187"/>
      <c r="L178" s="187"/>
      <c r="M178" s="187"/>
      <c r="N178" s="187"/>
      <c r="O178" s="187"/>
      <c r="P178" s="187"/>
      <c r="Q178" s="187"/>
      <c r="R178" s="187"/>
    </row>
    <row r="179" spans="2:57" ht="12.75" hidden="1" outlineLevel="2">
      <c r="B179" s="177"/>
      <c r="C179" s="223" t="s">
        <v>303</v>
      </c>
      <c r="D179" s="177"/>
      <c r="E179" s="141"/>
      <c r="F179" s="188" t="s">
        <v>18</v>
      </c>
      <c r="G179" s="141"/>
      <c r="H179" s="188" t="s">
        <v>254</v>
      </c>
      <c r="I179" s="324" t="s">
        <v>265</v>
      </c>
      <c r="J179" s="325"/>
      <c r="K179" s="177"/>
      <c r="L179" s="177"/>
      <c r="M179" s="177"/>
      <c r="N179" s="177"/>
      <c r="O179" s="177"/>
      <c r="P179" s="177"/>
      <c r="Q179" s="177"/>
      <c r="R179" s="177"/>
      <c r="BE179" s="71"/>
    </row>
    <row r="180" spans="2:18" s="71" customFormat="1" ht="6.75" hidden="1" outlineLevel="2">
      <c r="B180" s="187"/>
      <c r="C180" s="187"/>
      <c r="D180" s="187"/>
      <c r="E180" s="187"/>
      <c r="F180" s="187"/>
      <c r="G180" s="187"/>
      <c r="H180" s="187"/>
      <c r="I180" s="187"/>
      <c r="J180" s="187"/>
      <c r="K180" s="187"/>
      <c r="L180" s="187"/>
      <c r="M180" s="187"/>
      <c r="N180" s="187"/>
      <c r="O180" s="187"/>
      <c r="P180" s="187"/>
      <c r="Q180" s="187"/>
      <c r="R180" s="187"/>
    </row>
    <row r="181" spans="2:57" ht="12.75" hidden="1" outlineLevel="2">
      <c r="B181" s="177"/>
      <c r="C181" s="223" t="s">
        <v>304</v>
      </c>
      <c r="D181" s="177"/>
      <c r="E181" s="141"/>
      <c r="F181" s="188" t="s">
        <v>18</v>
      </c>
      <c r="G181" s="141"/>
      <c r="H181" s="188" t="s">
        <v>254</v>
      </c>
      <c r="I181" s="324" t="s">
        <v>265</v>
      </c>
      <c r="J181" s="325"/>
      <c r="K181" s="177"/>
      <c r="L181" s="177"/>
      <c r="M181" s="177"/>
      <c r="N181" s="177"/>
      <c r="O181" s="177"/>
      <c r="P181" s="177"/>
      <c r="Q181" s="177"/>
      <c r="R181" s="177"/>
      <c r="BE181" s="81"/>
    </row>
    <row r="182" spans="2:18" s="75" customFormat="1" ht="8.25" hidden="1" outlineLevel="2">
      <c r="B182" s="192"/>
      <c r="C182" s="192"/>
      <c r="D182" s="192"/>
      <c r="E182" s="192"/>
      <c r="F182" s="192"/>
      <c r="G182" s="192"/>
      <c r="H182" s="192"/>
      <c r="I182" s="192"/>
      <c r="J182" s="192"/>
      <c r="K182" s="192"/>
      <c r="L182" s="192"/>
      <c r="M182" s="192"/>
      <c r="N182" s="192"/>
      <c r="O182" s="192"/>
      <c r="P182" s="192"/>
      <c r="Q182" s="192"/>
      <c r="R182" s="192"/>
    </row>
    <row r="183" spans="2:57" s="81" customFormat="1" ht="11.25" hidden="1" outlineLevel="1">
      <c r="B183" s="219"/>
      <c r="C183" s="219"/>
      <c r="D183" s="219"/>
      <c r="E183" s="219"/>
      <c r="F183" s="219"/>
      <c r="G183" s="219"/>
      <c r="H183" s="219"/>
      <c r="I183" s="219"/>
      <c r="J183" s="219"/>
      <c r="K183" s="219"/>
      <c r="L183" s="219"/>
      <c r="M183" s="219"/>
      <c r="N183" s="219"/>
      <c r="O183" s="219"/>
      <c r="P183" s="219"/>
      <c r="Q183" s="219"/>
      <c r="R183" s="219"/>
      <c r="BE183" s="71"/>
    </row>
    <row r="184" spans="2:18" ht="12.75" hidden="1" outlineLevel="1">
      <c r="B184" s="177"/>
      <c r="C184" s="198" t="s">
        <v>334</v>
      </c>
      <c r="D184" s="177"/>
      <c r="E184" s="177"/>
      <c r="F184" s="177"/>
      <c r="G184" s="177"/>
      <c r="H184" s="177"/>
      <c r="I184" s="177"/>
      <c r="J184" s="177"/>
      <c r="K184" s="177"/>
      <c r="L184" s="177"/>
      <c r="M184" s="177"/>
      <c r="N184" s="177"/>
      <c r="O184" s="177"/>
      <c r="P184" s="177"/>
      <c r="Q184" s="177"/>
      <c r="R184" s="177"/>
    </row>
    <row r="185" spans="2:57" s="80" customFormat="1" ht="8.25" hidden="1" outlineLevel="2">
      <c r="B185" s="199"/>
      <c r="C185" s="199"/>
      <c r="D185" s="199"/>
      <c r="E185" s="199"/>
      <c r="F185" s="199"/>
      <c r="G185" s="199"/>
      <c r="H185" s="199"/>
      <c r="I185" s="199"/>
      <c r="J185" s="199"/>
      <c r="K185" s="199"/>
      <c r="L185" s="199"/>
      <c r="M185" s="199"/>
      <c r="N185" s="199"/>
      <c r="O185" s="199"/>
      <c r="P185" s="199"/>
      <c r="Q185" s="199"/>
      <c r="R185" s="199"/>
      <c r="BE185" s="71"/>
    </row>
    <row r="186" spans="2:18" ht="12.75" hidden="1" outlineLevel="2">
      <c r="B186" s="177"/>
      <c r="C186" s="200" t="s">
        <v>289</v>
      </c>
      <c r="D186" s="177"/>
      <c r="E186" s="177"/>
      <c r="F186" s="177"/>
      <c r="G186" s="177"/>
      <c r="H186" s="177"/>
      <c r="I186" s="177"/>
      <c r="J186" s="177"/>
      <c r="K186" s="177"/>
      <c r="L186" s="177"/>
      <c r="M186" s="177"/>
      <c r="N186" s="177"/>
      <c r="O186" s="177"/>
      <c r="P186" s="177"/>
      <c r="Q186" s="177"/>
      <c r="R186" s="177"/>
    </row>
    <row r="187" spans="2:18" s="71" customFormat="1" ht="6.75" hidden="1" outlineLevel="2">
      <c r="B187" s="187"/>
      <c r="C187" s="187"/>
      <c r="D187" s="187"/>
      <c r="E187" s="187"/>
      <c r="F187" s="187"/>
      <c r="G187" s="187"/>
      <c r="H187" s="187"/>
      <c r="I187" s="187"/>
      <c r="J187" s="187"/>
      <c r="K187" s="187"/>
      <c r="L187" s="187"/>
      <c r="M187" s="187"/>
      <c r="N187" s="187"/>
      <c r="O187" s="187"/>
      <c r="P187" s="187"/>
      <c r="Q187" s="187"/>
      <c r="R187" s="187"/>
    </row>
    <row r="188" spans="2:18" ht="12.75" hidden="1" outlineLevel="2">
      <c r="B188" s="177"/>
      <c r="C188" s="141"/>
      <c r="D188" s="188" t="s">
        <v>254</v>
      </c>
      <c r="E188" s="177"/>
      <c r="F188" s="177"/>
      <c r="G188" s="177"/>
      <c r="H188" s="177"/>
      <c r="I188" s="177"/>
      <c r="J188" s="177"/>
      <c r="K188" s="177"/>
      <c r="L188" s="177"/>
      <c r="M188" s="177"/>
      <c r="N188" s="177"/>
      <c r="O188" s="177"/>
      <c r="P188" s="177"/>
      <c r="Q188" s="177"/>
      <c r="R188" s="177"/>
    </row>
    <row r="189" spans="2:57" s="75" customFormat="1" ht="8.25" hidden="1" outlineLevel="2">
      <c r="B189" s="192"/>
      <c r="C189" s="192"/>
      <c r="D189" s="192"/>
      <c r="E189" s="192"/>
      <c r="F189" s="192"/>
      <c r="G189" s="192"/>
      <c r="H189" s="192"/>
      <c r="I189" s="192"/>
      <c r="J189" s="192"/>
      <c r="K189" s="192"/>
      <c r="L189" s="192"/>
      <c r="M189" s="192"/>
      <c r="N189" s="192"/>
      <c r="O189" s="192"/>
      <c r="P189" s="192"/>
      <c r="Q189" s="192"/>
      <c r="R189" s="192"/>
      <c r="BE189" s="71"/>
    </row>
    <row r="190" spans="2:18" ht="12.75" hidden="1" outlineLevel="2">
      <c r="B190" s="177"/>
      <c r="C190" s="200" t="s">
        <v>305</v>
      </c>
      <c r="D190" s="177"/>
      <c r="E190" s="177"/>
      <c r="F190" s="177"/>
      <c r="G190" s="177"/>
      <c r="H190" s="177"/>
      <c r="I190" s="177"/>
      <c r="J190" s="177"/>
      <c r="K190" s="177"/>
      <c r="L190" s="177"/>
      <c r="M190" s="177"/>
      <c r="N190" s="177"/>
      <c r="O190" s="177"/>
      <c r="P190" s="177"/>
      <c r="Q190" s="177"/>
      <c r="R190" s="177"/>
    </row>
    <row r="191" spans="2:57" s="71" customFormat="1" ht="8.25" hidden="1" outlineLevel="2">
      <c r="B191" s="187"/>
      <c r="C191" s="187"/>
      <c r="D191" s="187"/>
      <c r="E191" s="187"/>
      <c r="F191" s="187"/>
      <c r="G191" s="187"/>
      <c r="H191" s="187"/>
      <c r="I191" s="187"/>
      <c r="J191" s="187"/>
      <c r="K191" s="187"/>
      <c r="L191" s="187"/>
      <c r="M191" s="187"/>
      <c r="N191" s="187"/>
      <c r="O191" s="187"/>
      <c r="P191" s="187"/>
      <c r="Q191" s="187"/>
      <c r="R191" s="187"/>
      <c r="BE191" s="75"/>
    </row>
    <row r="192" spans="2:57" ht="12.75" hidden="1" outlineLevel="2">
      <c r="B192" s="177"/>
      <c r="C192" s="141"/>
      <c r="D192" s="224" t="s">
        <v>257</v>
      </c>
      <c r="E192" s="177"/>
      <c r="F192" s="177"/>
      <c r="G192" s="177"/>
      <c r="H192" s="177"/>
      <c r="I192" s="177"/>
      <c r="J192" s="177"/>
      <c r="K192" s="177"/>
      <c r="L192" s="177"/>
      <c r="M192" s="177"/>
      <c r="N192" s="177"/>
      <c r="O192" s="177"/>
      <c r="P192" s="177"/>
      <c r="Q192" s="177"/>
      <c r="R192" s="177"/>
      <c r="BE192" s="81"/>
    </row>
    <row r="193" spans="2:18" s="75" customFormat="1" ht="8.25" hidden="1" outlineLevel="2">
      <c r="B193" s="192"/>
      <c r="C193" s="192"/>
      <c r="D193" s="192"/>
      <c r="E193" s="192"/>
      <c r="F193" s="192"/>
      <c r="G193" s="192"/>
      <c r="H193" s="192"/>
      <c r="I193" s="192"/>
      <c r="J193" s="192"/>
      <c r="K193" s="192"/>
      <c r="L193" s="192"/>
      <c r="M193" s="192"/>
      <c r="N193" s="192"/>
      <c r="O193" s="192"/>
      <c r="P193" s="192"/>
      <c r="Q193" s="192"/>
      <c r="R193" s="192"/>
    </row>
    <row r="194" spans="2:57" ht="12.75" hidden="1" outlineLevel="2">
      <c r="B194" s="177"/>
      <c r="C194" s="200" t="s">
        <v>772</v>
      </c>
      <c r="D194" s="177"/>
      <c r="E194" s="177"/>
      <c r="F194" s="177"/>
      <c r="G194" s="177"/>
      <c r="H194" s="177"/>
      <c r="I194" s="177"/>
      <c r="J194" s="177"/>
      <c r="K194" s="177"/>
      <c r="L194" s="177"/>
      <c r="M194" s="177"/>
      <c r="N194" s="177"/>
      <c r="O194" s="177"/>
      <c r="P194" s="177"/>
      <c r="Q194" s="177"/>
      <c r="R194" s="177"/>
      <c r="BE194" s="80"/>
    </row>
    <row r="195" spans="2:18" s="71" customFormat="1" ht="6.75" hidden="1" outlineLevel="2">
      <c r="B195" s="187"/>
      <c r="C195" s="187"/>
      <c r="D195" s="187"/>
      <c r="E195" s="187"/>
      <c r="F195" s="187"/>
      <c r="G195" s="187"/>
      <c r="H195" s="187"/>
      <c r="I195" s="187"/>
      <c r="J195" s="187"/>
      <c r="K195" s="187"/>
      <c r="L195" s="187"/>
      <c r="M195" s="187"/>
      <c r="N195" s="187"/>
      <c r="O195" s="187"/>
      <c r="P195" s="187"/>
      <c r="Q195" s="187"/>
      <c r="R195" s="187"/>
    </row>
    <row r="196" spans="2:57" ht="12" customHeight="1" hidden="1" outlineLevel="2">
      <c r="B196" s="177"/>
      <c r="C196" s="279">
        <f>IF(F196="Vrachtwagen",1/4,IF(F196="Bus / transporter",1/9,IF(F196="Bus met aanhanger",1/7,IF(F196="Personenauto",1/11,0))))</f>
        <v>0</v>
      </c>
      <c r="D196" s="188" t="s">
        <v>307</v>
      </c>
      <c r="E196" s="177"/>
      <c r="F196" s="324" t="s">
        <v>265</v>
      </c>
      <c r="G196" s="325"/>
      <c r="H196" s="224" t="s">
        <v>768</v>
      </c>
      <c r="I196" s="177"/>
      <c r="J196" s="177"/>
      <c r="K196" s="177"/>
      <c r="L196" s="177"/>
      <c r="M196" s="177"/>
      <c r="N196" s="177"/>
      <c r="O196" s="177"/>
      <c r="P196" s="177"/>
      <c r="Q196" s="177"/>
      <c r="R196" s="177"/>
      <c r="BE196" s="71"/>
    </row>
    <row r="197" spans="2:18" s="75" customFormat="1" ht="8.25" hidden="1" outlineLevel="2">
      <c r="B197" s="192"/>
      <c r="C197" s="192"/>
      <c r="D197" s="192"/>
      <c r="E197" s="192"/>
      <c r="F197" s="192"/>
      <c r="G197" s="192"/>
      <c r="H197" s="192"/>
      <c r="I197" s="192"/>
      <c r="J197" s="192"/>
      <c r="K197" s="192"/>
      <c r="L197" s="192"/>
      <c r="M197" s="192"/>
      <c r="N197" s="192"/>
      <c r="O197" s="192"/>
      <c r="P197" s="192"/>
      <c r="Q197" s="192"/>
      <c r="R197" s="192"/>
    </row>
    <row r="198" spans="2:57" ht="12.75" hidden="1" outlineLevel="2">
      <c r="B198" s="177"/>
      <c r="C198" s="200" t="s">
        <v>308</v>
      </c>
      <c r="D198" s="177"/>
      <c r="E198" s="177"/>
      <c r="F198" s="177"/>
      <c r="G198" s="177"/>
      <c r="H198" s="177"/>
      <c r="I198" s="177"/>
      <c r="J198" s="177"/>
      <c r="K198" s="177"/>
      <c r="L198" s="177"/>
      <c r="M198" s="177"/>
      <c r="N198" s="177"/>
      <c r="O198" s="177"/>
      <c r="P198" s="177"/>
      <c r="Q198" s="177"/>
      <c r="R198" s="177"/>
      <c r="BE198" s="75"/>
    </row>
    <row r="199" spans="2:18" s="71" customFormat="1" ht="6.75" hidden="1" outlineLevel="2">
      <c r="B199" s="187"/>
      <c r="C199" s="187"/>
      <c r="D199" s="187"/>
      <c r="E199" s="187"/>
      <c r="F199" s="187"/>
      <c r="G199" s="187"/>
      <c r="H199" s="187"/>
      <c r="I199" s="187"/>
      <c r="J199" s="187"/>
      <c r="K199" s="187"/>
      <c r="L199" s="187"/>
      <c r="M199" s="187"/>
      <c r="N199" s="187"/>
      <c r="O199" s="187"/>
      <c r="P199" s="187"/>
      <c r="Q199" s="187"/>
      <c r="R199" s="187"/>
    </row>
    <row r="200" spans="2:57" ht="12.75" hidden="1" outlineLevel="2">
      <c r="B200" s="177"/>
      <c r="C200" s="324" t="s">
        <v>265</v>
      </c>
      <c r="D200" s="325"/>
      <c r="E200" s="177"/>
      <c r="F200" s="177"/>
      <c r="G200" s="177"/>
      <c r="H200" s="177"/>
      <c r="I200" s="177"/>
      <c r="J200" s="177"/>
      <c r="K200" s="177"/>
      <c r="L200" s="177"/>
      <c r="M200" s="177"/>
      <c r="N200" s="177"/>
      <c r="O200" s="177"/>
      <c r="P200" s="177"/>
      <c r="Q200" s="177"/>
      <c r="R200" s="177"/>
      <c r="BE200" s="71"/>
    </row>
    <row r="201" spans="2:18" s="75" customFormat="1" ht="8.25" hidden="1" outlineLevel="2">
      <c r="B201" s="192"/>
      <c r="C201" s="192"/>
      <c r="D201" s="192"/>
      <c r="E201" s="192"/>
      <c r="F201" s="192"/>
      <c r="G201" s="192"/>
      <c r="H201" s="192"/>
      <c r="I201" s="192"/>
      <c r="J201" s="192"/>
      <c r="K201" s="192"/>
      <c r="L201" s="192"/>
      <c r="M201" s="192"/>
      <c r="N201" s="192"/>
      <c r="O201" s="192"/>
      <c r="P201" s="192"/>
      <c r="Q201" s="192"/>
      <c r="R201" s="192"/>
    </row>
    <row r="202" spans="2:57" s="81" customFormat="1" ht="11.25" hidden="1" outlineLevel="1">
      <c r="B202" s="219"/>
      <c r="C202" s="219"/>
      <c r="D202" s="219"/>
      <c r="E202" s="219"/>
      <c r="F202" s="219"/>
      <c r="G202" s="219"/>
      <c r="H202" s="219"/>
      <c r="I202" s="219"/>
      <c r="J202" s="219"/>
      <c r="K202" s="219"/>
      <c r="L202" s="219"/>
      <c r="M202" s="219"/>
      <c r="N202" s="219"/>
      <c r="O202" s="219"/>
      <c r="P202" s="219"/>
      <c r="Q202" s="219"/>
      <c r="R202" s="219"/>
      <c r="BE202" s="75"/>
    </row>
    <row r="203" spans="2:57" s="77" customFormat="1" ht="12.75">
      <c r="B203" s="202"/>
      <c r="C203" s="202"/>
      <c r="D203" s="202"/>
      <c r="E203" s="202"/>
      <c r="F203" s="202"/>
      <c r="G203" s="202"/>
      <c r="H203" s="202"/>
      <c r="I203" s="202"/>
      <c r="J203" s="202"/>
      <c r="K203" s="202"/>
      <c r="L203" s="202"/>
      <c r="M203" s="202"/>
      <c r="N203" s="202"/>
      <c r="O203" s="202"/>
      <c r="P203" s="202"/>
      <c r="Q203" s="202"/>
      <c r="R203" s="202"/>
      <c r="BE203" s="54"/>
    </row>
    <row r="204" spans="2:57" ht="18">
      <c r="B204" s="197" t="s">
        <v>462</v>
      </c>
      <c r="C204" s="177"/>
      <c r="D204" s="177"/>
      <c r="E204" s="177"/>
      <c r="F204" s="177"/>
      <c r="G204" s="177"/>
      <c r="H204" s="177"/>
      <c r="I204" s="177"/>
      <c r="J204" s="177"/>
      <c r="K204" s="177"/>
      <c r="L204" s="177"/>
      <c r="M204" s="177"/>
      <c r="N204" s="177"/>
      <c r="O204" s="177"/>
      <c r="P204" s="177"/>
      <c r="Q204" s="177"/>
      <c r="R204" s="177"/>
      <c r="BE204" s="71"/>
    </row>
    <row r="205" spans="2:18" ht="12.75">
      <c r="B205" s="177"/>
      <c r="C205" s="177"/>
      <c r="D205" s="177"/>
      <c r="E205" s="177"/>
      <c r="F205" s="177"/>
      <c r="G205" s="177"/>
      <c r="H205" s="177"/>
      <c r="I205" s="177"/>
      <c r="J205" s="177"/>
      <c r="K205" s="177"/>
      <c r="L205" s="177"/>
      <c r="M205" s="177"/>
      <c r="N205" s="177"/>
      <c r="O205" s="177"/>
      <c r="P205" s="177"/>
      <c r="Q205" s="177"/>
      <c r="R205" s="177"/>
    </row>
    <row r="206" spans="2:57" ht="12.75" hidden="1" outlineLevel="1">
      <c r="B206" s="177"/>
      <c r="C206" s="198" t="s">
        <v>313</v>
      </c>
      <c r="D206" s="177"/>
      <c r="E206" s="177"/>
      <c r="F206" s="177"/>
      <c r="G206" s="177"/>
      <c r="H206" s="177"/>
      <c r="I206" s="177"/>
      <c r="J206" s="177"/>
      <c r="K206" s="177"/>
      <c r="L206" s="177"/>
      <c r="M206" s="177"/>
      <c r="N206" s="177"/>
      <c r="O206" s="177"/>
      <c r="P206" s="177"/>
      <c r="Q206" s="177"/>
      <c r="R206" s="177"/>
      <c r="BE206" s="75"/>
    </row>
    <row r="207" spans="2:18" s="80" customFormat="1" ht="8.25" hidden="1" outlineLevel="2">
      <c r="B207" s="199"/>
      <c r="C207" s="199"/>
      <c r="D207" s="199"/>
      <c r="E207" s="199"/>
      <c r="F207" s="199"/>
      <c r="G207" s="199"/>
      <c r="H207" s="199"/>
      <c r="I207" s="199"/>
      <c r="J207" s="199"/>
      <c r="K207" s="199"/>
      <c r="L207" s="199"/>
      <c r="M207" s="199"/>
      <c r="N207" s="199"/>
      <c r="O207" s="199"/>
      <c r="P207" s="199"/>
      <c r="Q207" s="199"/>
      <c r="R207" s="199"/>
    </row>
    <row r="208" spans="2:57" s="77" customFormat="1" ht="12.75" hidden="1" outlineLevel="2">
      <c r="B208" s="202"/>
      <c r="C208" s="200" t="s">
        <v>266</v>
      </c>
      <c r="D208" s="202"/>
      <c r="E208" s="202"/>
      <c r="F208" s="202"/>
      <c r="G208" s="202"/>
      <c r="H208" s="202"/>
      <c r="I208" s="202"/>
      <c r="J208" s="202"/>
      <c r="K208" s="202"/>
      <c r="L208" s="202"/>
      <c r="M208" s="202"/>
      <c r="N208" s="202"/>
      <c r="O208" s="202"/>
      <c r="P208" s="202"/>
      <c r="Q208" s="202"/>
      <c r="R208" s="202"/>
      <c r="BE208" s="71"/>
    </row>
    <row r="209" spans="2:18" s="71" customFormat="1" ht="6.75" hidden="1" outlineLevel="2">
      <c r="B209" s="187"/>
      <c r="C209" s="187"/>
      <c r="D209" s="187"/>
      <c r="E209" s="187"/>
      <c r="F209" s="187"/>
      <c r="G209" s="187"/>
      <c r="H209" s="187"/>
      <c r="I209" s="187"/>
      <c r="J209" s="187"/>
      <c r="K209" s="187"/>
      <c r="L209" s="187"/>
      <c r="M209" s="187"/>
      <c r="N209" s="187"/>
      <c r="O209" s="187"/>
      <c r="P209" s="187"/>
      <c r="Q209" s="187"/>
      <c r="R209" s="187"/>
    </row>
    <row r="210" spans="2:57" s="77" customFormat="1" ht="12.75" hidden="1" outlineLevel="2">
      <c r="B210" s="202"/>
      <c r="C210" s="326" t="s">
        <v>265</v>
      </c>
      <c r="D210" s="341"/>
      <c r="E210" s="327"/>
      <c r="F210" s="202"/>
      <c r="G210" s="225"/>
      <c r="H210" s="202"/>
      <c r="I210" s="202"/>
      <c r="J210" s="202"/>
      <c r="K210" s="202"/>
      <c r="L210" s="202"/>
      <c r="M210" s="202"/>
      <c r="N210" s="202"/>
      <c r="O210" s="202"/>
      <c r="P210" s="202"/>
      <c r="Q210" s="202"/>
      <c r="R210" s="202"/>
      <c r="BE210" s="75"/>
    </row>
    <row r="211" spans="2:57" s="77" customFormat="1" ht="12.75" hidden="1" outlineLevel="2">
      <c r="B211" s="202"/>
      <c r="C211" s="202"/>
      <c r="D211" s="202"/>
      <c r="E211" s="202"/>
      <c r="F211" s="202"/>
      <c r="G211" s="202"/>
      <c r="H211" s="202"/>
      <c r="I211" s="202"/>
      <c r="J211" s="202"/>
      <c r="K211" s="202"/>
      <c r="L211" s="202"/>
      <c r="M211" s="202"/>
      <c r="N211" s="202"/>
      <c r="O211" s="202"/>
      <c r="P211" s="202"/>
      <c r="Q211" s="202"/>
      <c r="R211" s="202"/>
      <c r="BE211" s="81"/>
    </row>
    <row r="212" spans="2:57" ht="12.75" hidden="1" outlineLevel="2">
      <c r="B212" s="177"/>
      <c r="C212" s="222" t="s">
        <v>314</v>
      </c>
      <c r="D212" s="177"/>
      <c r="E212" s="177"/>
      <c r="F212" s="177"/>
      <c r="G212" s="210" t="s">
        <v>316</v>
      </c>
      <c r="H212" s="177"/>
      <c r="I212" s="210" t="s">
        <v>260</v>
      </c>
      <c r="J212" s="177"/>
      <c r="K212" s="177"/>
      <c r="L212" s="210" t="s">
        <v>317</v>
      </c>
      <c r="M212" s="177"/>
      <c r="N212" s="177"/>
      <c r="O212" s="210" t="str">
        <f>IF(C210="Zelf details invoeren","Boorwerk d.m.v."," ")</f>
        <v> </v>
      </c>
      <c r="P212" s="177"/>
      <c r="Q212" s="177"/>
      <c r="R212" s="177"/>
      <c r="BE212" s="77"/>
    </row>
    <row r="213" spans="2:18" s="71" customFormat="1" ht="6.75" hidden="1" outlineLevel="2">
      <c r="B213" s="187"/>
      <c r="C213" s="187"/>
      <c r="D213" s="187"/>
      <c r="E213" s="187"/>
      <c r="F213" s="187"/>
      <c r="G213" s="187"/>
      <c r="H213" s="187"/>
      <c r="I213" s="187"/>
      <c r="J213" s="187"/>
      <c r="K213" s="187"/>
      <c r="L213" s="187"/>
      <c r="M213" s="187"/>
      <c r="N213" s="187"/>
      <c r="O213" s="187"/>
      <c r="P213" s="187"/>
      <c r="Q213" s="187"/>
      <c r="R213" s="187"/>
    </row>
    <row r="214" spans="2:18" ht="12.75" hidden="1" outlineLevel="2">
      <c r="B214" s="177"/>
      <c r="C214" s="223" t="s">
        <v>315</v>
      </c>
      <c r="D214" s="177"/>
      <c r="E214" s="141"/>
      <c r="F214" s="188" t="s">
        <v>270</v>
      </c>
      <c r="G214" s="141"/>
      <c r="H214" s="188" t="s">
        <v>259</v>
      </c>
      <c r="I214" s="326" t="s">
        <v>265</v>
      </c>
      <c r="J214" s="327"/>
      <c r="K214" s="177"/>
      <c r="L214" s="326" t="s">
        <v>265</v>
      </c>
      <c r="M214" s="327"/>
      <c r="N214" s="177"/>
      <c r="O214" s="332" t="s">
        <v>265</v>
      </c>
      <c r="P214" s="332"/>
      <c r="Q214" s="177"/>
      <c r="R214" s="177"/>
    </row>
    <row r="215" spans="2:18" s="71" customFormat="1" ht="6.75" hidden="1" outlineLevel="2">
      <c r="B215" s="187"/>
      <c r="C215" s="187"/>
      <c r="D215" s="187"/>
      <c r="E215" s="187"/>
      <c r="F215" s="187"/>
      <c r="G215" s="187"/>
      <c r="H215" s="187"/>
      <c r="I215" s="187"/>
      <c r="J215" s="187"/>
      <c r="K215" s="187"/>
      <c r="L215" s="187"/>
      <c r="M215" s="187"/>
      <c r="N215" s="187"/>
      <c r="O215" s="187"/>
      <c r="P215" s="187"/>
      <c r="Q215" s="187"/>
      <c r="R215" s="187"/>
    </row>
    <row r="216" spans="2:57" ht="12.75" hidden="1" outlineLevel="2">
      <c r="B216" s="177"/>
      <c r="C216" s="223" t="s">
        <v>322</v>
      </c>
      <c r="D216" s="177"/>
      <c r="E216" s="141"/>
      <c r="F216" s="188" t="s">
        <v>270</v>
      </c>
      <c r="G216" s="141"/>
      <c r="H216" s="188" t="s">
        <v>259</v>
      </c>
      <c r="I216" s="324" t="s">
        <v>265</v>
      </c>
      <c r="J216" s="325"/>
      <c r="K216" s="177"/>
      <c r="L216" s="324" t="s">
        <v>265</v>
      </c>
      <c r="M216" s="325"/>
      <c r="N216" s="177"/>
      <c r="O216" s="332" t="s">
        <v>265</v>
      </c>
      <c r="P216" s="332"/>
      <c r="Q216" s="177"/>
      <c r="R216" s="177"/>
      <c r="BE216" s="80"/>
    </row>
    <row r="217" spans="2:18" s="71" customFormat="1" ht="6.75" hidden="1" outlineLevel="2">
      <c r="B217" s="187"/>
      <c r="C217" s="187"/>
      <c r="D217" s="187"/>
      <c r="E217" s="187"/>
      <c r="F217" s="187"/>
      <c r="G217" s="187"/>
      <c r="H217" s="187"/>
      <c r="I217" s="187"/>
      <c r="J217" s="187"/>
      <c r="K217" s="187"/>
      <c r="L217" s="187"/>
      <c r="M217" s="187"/>
      <c r="N217" s="187"/>
      <c r="O217" s="187"/>
      <c r="P217" s="187"/>
      <c r="Q217" s="187"/>
      <c r="R217" s="187"/>
    </row>
    <row r="218" spans="2:57" ht="12.75" hidden="1" outlineLevel="2">
      <c r="B218" s="177"/>
      <c r="C218" s="223" t="s">
        <v>323</v>
      </c>
      <c r="D218" s="177"/>
      <c r="E218" s="141"/>
      <c r="F218" s="188" t="s">
        <v>270</v>
      </c>
      <c r="G218" s="141"/>
      <c r="H218" s="188" t="s">
        <v>259</v>
      </c>
      <c r="I218" s="324" t="s">
        <v>265</v>
      </c>
      <c r="J218" s="325"/>
      <c r="K218" s="177"/>
      <c r="L218" s="324" t="s">
        <v>265</v>
      </c>
      <c r="M218" s="325"/>
      <c r="N218" s="177"/>
      <c r="O218" s="332" t="s">
        <v>265</v>
      </c>
      <c r="P218" s="332"/>
      <c r="Q218" s="177"/>
      <c r="R218" s="177"/>
      <c r="BE218" s="71"/>
    </row>
    <row r="219" spans="2:18" s="71" customFormat="1" ht="6.75" hidden="1" outlineLevel="2">
      <c r="B219" s="187"/>
      <c r="C219" s="187"/>
      <c r="D219" s="187"/>
      <c r="E219" s="187"/>
      <c r="F219" s="187"/>
      <c r="G219" s="187"/>
      <c r="H219" s="187"/>
      <c r="I219" s="187"/>
      <c r="J219" s="187"/>
      <c r="K219" s="187"/>
      <c r="L219" s="187"/>
      <c r="M219" s="187"/>
      <c r="N219" s="187"/>
      <c r="O219" s="187"/>
      <c r="P219" s="187"/>
      <c r="Q219" s="187"/>
      <c r="R219" s="187"/>
    </row>
    <row r="220" spans="2:57" ht="12.75" hidden="1" outlineLevel="2">
      <c r="B220" s="177"/>
      <c r="C220" s="223" t="s">
        <v>324</v>
      </c>
      <c r="D220" s="177"/>
      <c r="E220" s="141"/>
      <c r="F220" s="188" t="s">
        <v>270</v>
      </c>
      <c r="G220" s="141"/>
      <c r="H220" s="188" t="s">
        <v>259</v>
      </c>
      <c r="I220" s="324" t="s">
        <v>265</v>
      </c>
      <c r="J220" s="325"/>
      <c r="K220" s="177"/>
      <c r="L220" s="324" t="s">
        <v>265</v>
      </c>
      <c r="M220" s="325"/>
      <c r="N220" s="177"/>
      <c r="O220" s="332" t="s">
        <v>265</v>
      </c>
      <c r="P220" s="332"/>
      <c r="Q220" s="177"/>
      <c r="R220" s="177"/>
      <c r="BE220" s="77"/>
    </row>
    <row r="221" spans="2:18" s="81" customFormat="1" ht="11.25" hidden="1" outlineLevel="2">
      <c r="B221" s="219"/>
      <c r="C221" s="219"/>
      <c r="D221" s="219"/>
      <c r="E221" s="219"/>
      <c r="F221" s="219"/>
      <c r="G221" s="219"/>
      <c r="H221" s="219"/>
      <c r="I221" s="219"/>
      <c r="J221" s="219"/>
      <c r="K221" s="219"/>
      <c r="L221" s="219"/>
      <c r="M221" s="219"/>
      <c r="N221" s="219"/>
      <c r="O221" s="219"/>
      <c r="P221" s="219"/>
      <c r="Q221" s="219"/>
      <c r="R221" s="219"/>
    </row>
    <row r="222" spans="2:57" ht="12.75" hidden="1" outlineLevel="2">
      <c r="B222" s="177"/>
      <c r="C222" s="222" t="s">
        <v>325</v>
      </c>
      <c r="D222" s="177"/>
      <c r="E222" s="177"/>
      <c r="F222" s="177"/>
      <c r="G222" s="210" t="s">
        <v>326</v>
      </c>
      <c r="H222" s="177"/>
      <c r="I222" s="210" t="s">
        <v>328</v>
      </c>
      <c r="J222" s="177"/>
      <c r="K222" s="177"/>
      <c r="L222" s="210" t="s">
        <v>327</v>
      </c>
      <c r="M222" s="177"/>
      <c r="N222" s="177"/>
      <c r="O222" s="177"/>
      <c r="P222" s="177"/>
      <c r="Q222" s="177"/>
      <c r="R222" s="177"/>
      <c r="BE222" s="71"/>
    </row>
    <row r="223" spans="2:18" s="71" customFormat="1" ht="6.75" hidden="1" outlineLevel="2">
      <c r="B223" s="187"/>
      <c r="C223" s="187"/>
      <c r="D223" s="187"/>
      <c r="E223" s="187"/>
      <c r="F223" s="187"/>
      <c r="G223" s="187"/>
      <c r="H223" s="187"/>
      <c r="I223" s="187"/>
      <c r="J223" s="187"/>
      <c r="K223" s="187"/>
      <c r="L223" s="187"/>
      <c r="M223" s="187"/>
      <c r="N223" s="187"/>
      <c r="O223" s="187"/>
      <c r="P223" s="187"/>
      <c r="Q223" s="187"/>
      <c r="R223" s="187"/>
    </row>
    <row r="224" spans="2:57" ht="12.75" hidden="1" outlineLevel="2">
      <c r="B224" s="177"/>
      <c r="C224" s="223" t="s">
        <v>329</v>
      </c>
      <c r="D224" s="177"/>
      <c r="E224" s="141"/>
      <c r="F224" s="188" t="s">
        <v>270</v>
      </c>
      <c r="G224" s="141"/>
      <c r="H224" s="188" t="s">
        <v>259</v>
      </c>
      <c r="I224" s="326" t="s">
        <v>265</v>
      </c>
      <c r="J224" s="327"/>
      <c r="K224" s="177"/>
      <c r="L224" s="326" t="s">
        <v>265</v>
      </c>
      <c r="M224" s="327"/>
      <c r="N224" s="177"/>
      <c r="O224" s="177"/>
      <c r="P224" s="177"/>
      <c r="Q224" s="177"/>
      <c r="R224" s="177"/>
      <c r="BE224" s="71"/>
    </row>
    <row r="225" spans="2:18" s="71" customFormat="1" ht="6.75" hidden="1" outlineLevel="2">
      <c r="B225" s="187"/>
      <c r="C225" s="187"/>
      <c r="D225" s="187"/>
      <c r="E225" s="187"/>
      <c r="F225" s="187"/>
      <c r="G225" s="187"/>
      <c r="H225" s="187"/>
      <c r="I225" s="187"/>
      <c r="J225" s="187"/>
      <c r="K225" s="187"/>
      <c r="L225" s="187"/>
      <c r="M225" s="187"/>
      <c r="N225" s="187"/>
      <c r="O225" s="187"/>
      <c r="P225" s="187"/>
      <c r="Q225" s="187"/>
      <c r="R225" s="187"/>
    </row>
    <row r="226" spans="2:57" ht="12.75" hidden="1" outlineLevel="2">
      <c r="B226" s="177"/>
      <c r="C226" s="223" t="s">
        <v>330</v>
      </c>
      <c r="D226" s="177"/>
      <c r="E226" s="141"/>
      <c r="F226" s="188" t="s">
        <v>270</v>
      </c>
      <c r="G226" s="141"/>
      <c r="H226" s="188" t="s">
        <v>259</v>
      </c>
      <c r="I226" s="324" t="s">
        <v>265</v>
      </c>
      <c r="J226" s="325"/>
      <c r="K226" s="177"/>
      <c r="L226" s="324" t="s">
        <v>265</v>
      </c>
      <c r="M226" s="325"/>
      <c r="N226" s="177"/>
      <c r="O226" s="177"/>
      <c r="P226" s="177"/>
      <c r="Q226" s="177"/>
      <c r="R226" s="177"/>
      <c r="BE226" s="71"/>
    </row>
    <row r="227" spans="2:18" s="71" customFormat="1" ht="6.75" hidden="1" outlineLevel="2">
      <c r="B227" s="187"/>
      <c r="C227" s="187"/>
      <c r="D227" s="187"/>
      <c r="E227" s="187"/>
      <c r="F227" s="187"/>
      <c r="G227" s="187"/>
      <c r="H227" s="187"/>
      <c r="I227" s="187"/>
      <c r="J227" s="187"/>
      <c r="K227" s="187"/>
      <c r="L227" s="187"/>
      <c r="M227" s="187"/>
      <c r="N227" s="187"/>
      <c r="O227" s="187"/>
      <c r="P227" s="187"/>
      <c r="Q227" s="187"/>
      <c r="R227" s="187"/>
    </row>
    <row r="228" spans="2:57" ht="12.75" hidden="1" outlineLevel="2">
      <c r="B228" s="177"/>
      <c r="C228" s="223" t="s">
        <v>331</v>
      </c>
      <c r="D228" s="177"/>
      <c r="E228" s="141"/>
      <c r="F228" s="188" t="s">
        <v>270</v>
      </c>
      <c r="G228" s="141"/>
      <c r="H228" s="188" t="s">
        <v>259</v>
      </c>
      <c r="I228" s="324" t="s">
        <v>265</v>
      </c>
      <c r="J228" s="325"/>
      <c r="K228" s="177"/>
      <c r="L228" s="324" t="s">
        <v>265</v>
      </c>
      <c r="M228" s="325"/>
      <c r="N228" s="177"/>
      <c r="O228" s="177"/>
      <c r="P228" s="177"/>
      <c r="Q228" s="177"/>
      <c r="R228" s="177"/>
      <c r="BE228" s="71"/>
    </row>
    <row r="229" spans="2:18" s="71" customFormat="1" ht="6.75" hidden="1" outlineLevel="2">
      <c r="B229" s="187"/>
      <c r="C229" s="187"/>
      <c r="D229" s="187"/>
      <c r="E229" s="187"/>
      <c r="F229" s="187"/>
      <c r="G229" s="187"/>
      <c r="H229" s="187"/>
      <c r="I229" s="187"/>
      <c r="J229" s="187"/>
      <c r="K229" s="187"/>
      <c r="L229" s="187"/>
      <c r="M229" s="187"/>
      <c r="N229" s="187"/>
      <c r="O229" s="187"/>
      <c r="P229" s="187"/>
      <c r="Q229" s="187"/>
      <c r="R229" s="187"/>
    </row>
    <row r="230" spans="2:57" ht="12.75" hidden="1" outlineLevel="2">
      <c r="B230" s="177"/>
      <c r="C230" s="223" t="s">
        <v>332</v>
      </c>
      <c r="D230" s="177"/>
      <c r="E230" s="141"/>
      <c r="F230" s="188" t="s">
        <v>270</v>
      </c>
      <c r="G230" s="141"/>
      <c r="H230" s="188" t="s">
        <v>259</v>
      </c>
      <c r="I230" s="324" t="s">
        <v>265</v>
      </c>
      <c r="J230" s="325"/>
      <c r="K230" s="177"/>
      <c r="L230" s="324" t="s">
        <v>265</v>
      </c>
      <c r="M230" s="325"/>
      <c r="N230" s="177"/>
      <c r="O230" s="177"/>
      <c r="P230" s="177"/>
      <c r="Q230" s="177"/>
      <c r="R230" s="177"/>
      <c r="BE230" s="81"/>
    </row>
    <row r="231" spans="2:18" s="75" customFormat="1" ht="8.25" hidden="1" outlineLevel="2">
      <c r="B231" s="192"/>
      <c r="C231" s="192"/>
      <c r="D231" s="192"/>
      <c r="E231" s="192"/>
      <c r="F231" s="192"/>
      <c r="G231" s="192"/>
      <c r="H231" s="192"/>
      <c r="I231" s="192"/>
      <c r="J231" s="192"/>
      <c r="K231" s="192"/>
      <c r="L231" s="192"/>
      <c r="M231" s="192"/>
      <c r="N231" s="192"/>
      <c r="O231" s="192"/>
      <c r="P231" s="192"/>
      <c r="Q231" s="192"/>
      <c r="R231" s="192"/>
    </row>
    <row r="232" spans="2:57" s="81" customFormat="1" ht="11.25" hidden="1" outlineLevel="1">
      <c r="B232" s="219"/>
      <c r="C232" s="219"/>
      <c r="D232" s="219"/>
      <c r="E232" s="219"/>
      <c r="F232" s="219"/>
      <c r="G232" s="219"/>
      <c r="H232" s="219"/>
      <c r="I232" s="219"/>
      <c r="J232" s="219"/>
      <c r="K232" s="219"/>
      <c r="L232" s="219"/>
      <c r="M232" s="219"/>
      <c r="N232" s="219"/>
      <c r="O232" s="219"/>
      <c r="P232" s="219"/>
      <c r="Q232" s="219"/>
      <c r="R232" s="219"/>
      <c r="BE232" s="71"/>
    </row>
    <row r="233" spans="2:18" ht="12.75" hidden="1" outlineLevel="1">
      <c r="B233" s="177"/>
      <c r="C233" s="198" t="s">
        <v>333</v>
      </c>
      <c r="D233" s="177"/>
      <c r="E233" s="177"/>
      <c r="F233" s="177"/>
      <c r="G233" s="177"/>
      <c r="H233" s="177"/>
      <c r="I233" s="177"/>
      <c r="J233" s="177"/>
      <c r="K233" s="177"/>
      <c r="L233" s="177"/>
      <c r="M233" s="177"/>
      <c r="N233" s="177"/>
      <c r="O233" s="177"/>
      <c r="P233" s="177"/>
      <c r="Q233" s="177"/>
      <c r="R233" s="177"/>
    </row>
    <row r="234" spans="2:57" s="80" customFormat="1" ht="8.25" hidden="1" outlineLevel="2">
      <c r="B234" s="199"/>
      <c r="C234" s="199"/>
      <c r="D234" s="199"/>
      <c r="E234" s="199"/>
      <c r="F234" s="199"/>
      <c r="G234" s="199"/>
      <c r="H234" s="199"/>
      <c r="I234" s="199"/>
      <c r="J234" s="199"/>
      <c r="K234" s="199"/>
      <c r="L234" s="199"/>
      <c r="M234" s="199"/>
      <c r="N234" s="199"/>
      <c r="O234" s="199"/>
      <c r="P234" s="199"/>
      <c r="Q234" s="199"/>
      <c r="R234" s="199"/>
      <c r="BE234" s="71"/>
    </row>
    <row r="235" spans="2:18" ht="12.75" hidden="1" outlineLevel="2">
      <c r="B235" s="177"/>
      <c r="C235" s="200" t="s">
        <v>335</v>
      </c>
      <c r="D235" s="177"/>
      <c r="E235" s="177"/>
      <c r="F235" s="210" t="str">
        <f>IF(C237="Ja","Kies type brandstof"," ")</f>
        <v> </v>
      </c>
      <c r="G235" s="177"/>
      <c r="H235" s="177"/>
      <c r="I235" s="210" t="str">
        <f>IF(C237="Ja","Vermogen aggregraat"," ")</f>
        <v> </v>
      </c>
      <c r="J235" s="177"/>
      <c r="K235" s="177"/>
      <c r="L235" s="177"/>
      <c r="M235" s="177"/>
      <c r="N235" s="177"/>
      <c r="O235" s="177"/>
      <c r="P235" s="177"/>
      <c r="Q235" s="177"/>
      <c r="R235" s="177"/>
    </row>
    <row r="236" spans="2:18" s="71" customFormat="1" ht="6.75" hidden="1" outlineLevel="2">
      <c r="B236" s="187"/>
      <c r="C236" s="187"/>
      <c r="D236" s="187"/>
      <c r="E236" s="187"/>
      <c r="F236" s="187"/>
      <c r="G236" s="187"/>
      <c r="H236" s="187"/>
      <c r="I236" s="187"/>
      <c r="J236" s="187"/>
      <c r="K236" s="187"/>
      <c r="L236" s="187"/>
      <c r="M236" s="187"/>
      <c r="N236" s="187"/>
      <c r="O236" s="187"/>
      <c r="P236" s="187"/>
      <c r="Q236" s="187"/>
      <c r="R236" s="187"/>
    </row>
    <row r="237" spans="2:18" ht="12.75" hidden="1" outlineLevel="2">
      <c r="B237" s="177"/>
      <c r="C237" s="339" t="s">
        <v>265</v>
      </c>
      <c r="D237" s="340"/>
      <c r="E237" s="177"/>
      <c r="F237" s="332" t="s">
        <v>265</v>
      </c>
      <c r="G237" s="332"/>
      <c r="H237" s="188"/>
      <c r="I237" s="332" t="s">
        <v>265</v>
      </c>
      <c r="J237" s="332"/>
      <c r="K237" s="177"/>
      <c r="L237" s="177"/>
      <c r="M237" s="177"/>
      <c r="N237" s="177"/>
      <c r="O237" s="177"/>
      <c r="P237" s="177"/>
      <c r="Q237" s="177"/>
      <c r="R237" s="177"/>
    </row>
    <row r="238" spans="2:57" s="81" customFormat="1" ht="11.25" hidden="1" outlineLevel="2">
      <c r="B238" s="219"/>
      <c r="C238" s="219"/>
      <c r="D238" s="219"/>
      <c r="E238" s="219"/>
      <c r="F238" s="219"/>
      <c r="G238" s="219"/>
      <c r="H238" s="219"/>
      <c r="I238" s="219"/>
      <c r="J238" s="219"/>
      <c r="K238" s="219"/>
      <c r="L238" s="219"/>
      <c r="M238" s="219"/>
      <c r="N238" s="219"/>
      <c r="O238" s="219"/>
      <c r="P238" s="219"/>
      <c r="Q238" s="219"/>
      <c r="R238" s="219"/>
      <c r="BE238" s="71"/>
    </row>
    <row r="239" spans="2:18" ht="12.75" hidden="1" outlineLevel="2">
      <c r="B239" s="177"/>
      <c r="C239" s="222" t="s">
        <v>151</v>
      </c>
      <c r="D239" s="177"/>
      <c r="E239" s="177"/>
      <c r="F239" s="177"/>
      <c r="G239" s="177"/>
      <c r="H239" s="177"/>
      <c r="I239" s="210" t="s">
        <v>255</v>
      </c>
      <c r="J239" s="177"/>
      <c r="K239" s="177"/>
      <c r="L239" s="177"/>
      <c r="M239" s="177"/>
      <c r="N239" s="177"/>
      <c r="O239" s="177"/>
      <c r="P239" s="177"/>
      <c r="Q239" s="177"/>
      <c r="R239" s="177"/>
    </row>
    <row r="240" spans="2:57" s="71" customFormat="1" ht="8.25" hidden="1" outlineLevel="2">
      <c r="B240" s="187"/>
      <c r="C240" s="187"/>
      <c r="D240" s="187"/>
      <c r="E240" s="187"/>
      <c r="F240" s="187"/>
      <c r="G240" s="187"/>
      <c r="H240" s="187"/>
      <c r="I240" s="187"/>
      <c r="J240" s="187"/>
      <c r="K240" s="187"/>
      <c r="L240" s="187"/>
      <c r="M240" s="187"/>
      <c r="N240" s="187"/>
      <c r="O240" s="187"/>
      <c r="P240" s="187"/>
      <c r="Q240" s="187"/>
      <c r="R240" s="187"/>
      <c r="BE240" s="75"/>
    </row>
    <row r="241" spans="2:57" ht="12.75" hidden="1" outlineLevel="2">
      <c r="B241" s="177"/>
      <c r="C241" s="223" t="s">
        <v>348</v>
      </c>
      <c r="D241" s="177"/>
      <c r="E241" s="309"/>
      <c r="F241" s="188" t="s">
        <v>253</v>
      </c>
      <c r="G241" s="177"/>
      <c r="H241" s="177"/>
      <c r="I241" s="328" t="s">
        <v>265</v>
      </c>
      <c r="J241" s="329"/>
      <c r="K241" s="177"/>
      <c r="L241" s="177"/>
      <c r="M241" s="177"/>
      <c r="N241" s="177"/>
      <c r="O241" s="177"/>
      <c r="P241" s="177"/>
      <c r="Q241" s="177"/>
      <c r="R241" s="177"/>
      <c r="BE241" s="81"/>
    </row>
    <row r="242" spans="2:18" s="71" customFormat="1" ht="6.75" hidden="1" outlineLevel="2">
      <c r="B242" s="187"/>
      <c r="C242" s="187"/>
      <c r="D242" s="187"/>
      <c r="E242" s="187"/>
      <c r="F242" s="187"/>
      <c r="G242" s="187"/>
      <c r="H242" s="187"/>
      <c r="I242" s="187"/>
      <c r="J242" s="187"/>
      <c r="K242" s="187"/>
      <c r="L242" s="187"/>
      <c r="M242" s="187"/>
      <c r="N242" s="187"/>
      <c r="O242" s="187"/>
      <c r="P242" s="187"/>
      <c r="Q242" s="187"/>
      <c r="R242" s="187"/>
    </row>
    <row r="243" spans="2:57" ht="12.75" hidden="1" outlineLevel="2">
      <c r="B243" s="177"/>
      <c r="C243" s="223" t="s">
        <v>349</v>
      </c>
      <c r="D243" s="177"/>
      <c r="E243" s="328" t="s">
        <v>265</v>
      </c>
      <c r="F243" s="329"/>
      <c r="G243" s="177"/>
      <c r="H243" s="177"/>
      <c r="I243" s="177"/>
      <c r="J243" s="177"/>
      <c r="K243" s="177"/>
      <c r="L243" s="177"/>
      <c r="M243" s="177"/>
      <c r="N243" s="177"/>
      <c r="O243" s="177"/>
      <c r="P243" s="177"/>
      <c r="Q243" s="177"/>
      <c r="R243" s="177"/>
      <c r="BE243" s="80"/>
    </row>
    <row r="244" spans="2:18" s="81" customFormat="1" ht="11.25" hidden="1" outlineLevel="2">
      <c r="B244" s="219"/>
      <c r="C244" s="219"/>
      <c r="D244" s="219"/>
      <c r="E244" s="219"/>
      <c r="F244" s="219"/>
      <c r="G244" s="219"/>
      <c r="H244" s="219"/>
      <c r="I244" s="219"/>
      <c r="J244" s="219"/>
      <c r="K244" s="219"/>
      <c r="L244" s="219"/>
      <c r="M244" s="219"/>
      <c r="N244" s="219"/>
      <c r="O244" s="219"/>
      <c r="P244" s="219"/>
      <c r="Q244" s="219"/>
      <c r="R244" s="219"/>
    </row>
    <row r="245" spans="2:57" ht="12.75" hidden="1" outlineLevel="2">
      <c r="B245" s="177"/>
      <c r="C245" s="222" t="s">
        <v>351</v>
      </c>
      <c r="D245" s="177"/>
      <c r="E245" s="177"/>
      <c r="F245" s="177"/>
      <c r="G245" s="177"/>
      <c r="H245" s="177"/>
      <c r="I245" s="210" t="s">
        <v>255</v>
      </c>
      <c r="J245" s="177"/>
      <c r="K245" s="177"/>
      <c r="L245" s="177"/>
      <c r="M245" s="177"/>
      <c r="N245" s="177"/>
      <c r="O245" s="177"/>
      <c r="P245" s="177"/>
      <c r="Q245" s="177"/>
      <c r="R245" s="177"/>
      <c r="BE245" s="71"/>
    </row>
    <row r="246" spans="2:18" s="71" customFormat="1" ht="6.75" hidden="1" outlineLevel="2">
      <c r="B246" s="187"/>
      <c r="C246" s="187"/>
      <c r="D246" s="187"/>
      <c r="E246" s="187"/>
      <c r="F246" s="187"/>
      <c r="G246" s="187"/>
      <c r="H246" s="187"/>
      <c r="I246" s="187"/>
      <c r="J246" s="187"/>
      <c r="K246" s="187"/>
      <c r="L246" s="187"/>
      <c r="M246" s="187"/>
      <c r="N246" s="187"/>
      <c r="O246" s="187"/>
      <c r="P246" s="187"/>
      <c r="Q246" s="187"/>
      <c r="R246" s="187"/>
    </row>
    <row r="247" spans="2:57" ht="12.75" hidden="1" outlineLevel="2">
      <c r="B247" s="177"/>
      <c r="C247" s="223" t="s">
        <v>348</v>
      </c>
      <c r="D247" s="177"/>
      <c r="E247" s="309"/>
      <c r="F247" s="188" t="s">
        <v>253</v>
      </c>
      <c r="G247" s="177"/>
      <c r="H247" s="177"/>
      <c r="I247" s="328" t="s">
        <v>265</v>
      </c>
      <c r="J247" s="329"/>
      <c r="K247" s="177"/>
      <c r="L247" s="177"/>
      <c r="M247" s="177"/>
      <c r="N247" s="177"/>
      <c r="O247" s="177"/>
      <c r="P247" s="177"/>
      <c r="Q247" s="177"/>
      <c r="R247" s="177"/>
      <c r="BE247" s="81"/>
    </row>
    <row r="248" spans="2:18" s="71" customFormat="1" ht="6.75" hidden="1" outlineLevel="2">
      <c r="B248" s="187"/>
      <c r="C248" s="187"/>
      <c r="D248" s="187"/>
      <c r="E248" s="187"/>
      <c r="F248" s="187"/>
      <c r="G248" s="187"/>
      <c r="H248" s="187"/>
      <c r="I248" s="187"/>
      <c r="J248" s="187"/>
      <c r="K248" s="187"/>
      <c r="L248" s="187"/>
      <c r="M248" s="187"/>
      <c r="N248" s="187"/>
      <c r="O248" s="187"/>
      <c r="P248" s="187"/>
      <c r="Q248" s="187"/>
      <c r="R248" s="187"/>
    </row>
    <row r="249" spans="2:57" ht="12.75" hidden="1" outlineLevel="2">
      <c r="B249" s="177"/>
      <c r="C249" s="223" t="s">
        <v>349</v>
      </c>
      <c r="D249" s="177"/>
      <c r="E249" s="328" t="s">
        <v>265</v>
      </c>
      <c r="F249" s="329"/>
      <c r="G249" s="177"/>
      <c r="H249" s="177"/>
      <c r="I249" s="177"/>
      <c r="J249" s="177"/>
      <c r="K249" s="177"/>
      <c r="L249" s="177"/>
      <c r="M249" s="177"/>
      <c r="N249" s="177"/>
      <c r="O249" s="177"/>
      <c r="P249" s="177"/>
      <c r="Q249" s="177"/>
      <c r="R249" s="177"/>
      <c r="BE249" s="71"/>
    </row>
    <row r="250" spans="2:18" s="75" customFormat="1" ht="8.25" hidden="1" outlineLevel="2">
      <c r="B250" s="192"/>
      <c r="C250" s="192"/>
      <c r="D250" s="192"/>
      <c r="E250" s="192"/>
      <c r="F250" s="192"/>
      <c r="G250" s="192"/>
      <c r="H250" s="192"/>
      <c r="I250" s="192"/>
      <c r="J250" s="192"/>
      <c r="K250" s="192"/>
      <c r="L250" s="192"/>
      <c r="M250" s="192"/>
      <c r="N250" s="192"/>
      <c r="O250" s="192"/>
      <c r="P250" s="192"/>
      <c r="Q250" s="192"/>
      <c r="R250" s="192"/>
    </row>
    <row r="251" spans="2:57" s="81" customFormat="1" ht="11.25" hidden="1" outlineLevel="1">
      <c r="B251" s="219"/>
      <c r="C251" s="226"/>
      <c r="D251" s="219"/>
      <c r="E251" s="219"/>
      <c r="F251" s="219"/>
      <c r="G251" s="219"/>
      <c r="H251" s="219"/>
      <c r="I251" s="219"/>
      <c r="J251" s="219"/>
      <c r="K251" s="219"/>
      <c r="L251" s="219"/>
      <c r="M251" s="219"/>
      <c r="N251" s="219"/>
      <c r="O251" s="219"/>
      <c r="P251" s="219"/>
      <c r="Q251" s="219"/>
      <c r="R251" s="219"/>
      <c r="BE251" s="71"/>
    </row>
    <row r="252" spans="2:18" ht="12.75" hidden="1" outlineLevel="1">
      <c r="B252" s="177"/>
      <c r="C252" s="198" t="s">
        <v>334</v>
      </c>
      <c r="D252" s="177"/>
      <c r="E252" s="177"/>
      <c r="F252" s="177"/>
      <c r="G252" s="177"/>
      <c r="H252" s="177"/>
      <c r="I252" s="177"/>
      <c r="J252" s="177"/>
      <c r="K252" s="177"/>
      <c r="L252" s="177"/>
      <c r="M252" s="177"/>
      <c r="N252" s="177"/>
      <c r="O252" s="177"/>
      <c r="P252" s="177"/>
      <c r="Q252" s="177"/>
      <c r="R252" s="177"/>
    </row>
    <row r="253" spans="2:18" s="80" customFormat="1" ht="8.25" hidden="1" outlineLevel="2">
      <c r="B253" s="199"/>
      <c r="C253" s="199"/>
      <c r="D253" s="199"/>
      <c r="E253" s="199"/>
      <c r="F253" s="199"/>
      <c r="G253" s="199"/>
      <c r="H253" s="199"/>
      <c r="I253" s="199"/>
      <c r="J253" s="199"/>
      <c r="K253" s="199"/>
      <c r="L253" s="199"/>
      <c r="M253" s="199"/>
      <c r="N253" s="199"/>
      <c r="O253" s="199"/>
      <c r="P253" s="199"/>
      <c r="Q253" s="199"/>
      <c r="R253" s="199"/>
    </row>
    <row r="254" spans="2:18" ht="12.75" hidden="1" outlineLevel="2">
      <c r="B254" s="177"/>
      <c r="C254" s="200" t="s">
        <v>289</v>
      </c>
      <c r="D254" s="177"/>
      <c r="E254" s="177"/>
      <c r="F254" s="177"/>
      <c r="G254" s="177"/>
      <c r="H254" s="177"/>
      <c r="I254" s="177"/>
      <c r="J254" s="177"/>
      <c r="K254" s="177"/>
      <c r="L254" s="177"/>
      <c r="M254" s="177"/>
      <c r="N254" s="177"/>
      <c r="O254" s="177"/>
      <c r="P254" s="177"/>
      <c r="Q254" s="177"/>
      <c r="R254" s="177"/>
    </row>
    <row r="255" spans="2:18" s="71" customFormat="1" ht="6.75" hidden="1" outlineLevel="2">
      <c r="B255" s="187"/>
      <c r="C255" s="187"/>
      <c r="D255" s="187"/>
      <c r="E255" s="187"/>
      <c r="F255" s="187"/>
      <c r="G255" s="187"/>
      <c r="H255" s="187"/>
      <c r="I255" s="187"/>
      <c r="J255" s="187"/>
      <c r="K255" s="187"/>
      <c r="L255" s="187"/>
      <c r="M255" s="187"/>
      <c r="N255" s="187"/>
      <c r="O255" s="187"/>
      <c r="P255" s="187"/>
      <c r="Q255" s="187"/>
      <c r="R255" s="187"/>
    </row>
    <row r="256" spans="2:18" ht="12.75" hidden="1" outlineLevel="2">
      <c r="B256" s="177"/>
      <c r="C256" s="141"/>
      <c r="D256" s="188" t="s">
        <v>254</v>
      </c>
      <c r="E256" s="177"/>
      <c r="F256" s="177"/>
      <c r="G256" s="177"/>
      <c r="H256" s="177"/>
      <c r="I256" s="177"/>
      <c r="J256" s="177"/>
      <c r="K256" s="177"/>
      <c r="L256" s="177"/>
      <c r="M256" s="177"/>
      <c r="N256" s="177"/>
      <c r="O256" s="177"/>
      <c r="P256" s="177"/>
      <c r="Q256" s="177"/>
      <c r="R256" s="177"/>
    </row>
    <row r="257" spans="2:57" s="75" customFormat="1" ht="8.25" hidden="1" outlineLevel="2">
      <c r="B257" s="192"/>
      <c r="C257" s="192"/>
      <c r="D257" s="192"/>
      <c r="E257" s="192"/>
      <c r="F257" s="192"/>
      <c r="G257" s="192"/>
      <c r="H257" s="192"/>
      <c r="I257" s="192"/>
      <c r="J257" s="192"/>
      <c r="K257" s="192"/>
      <c r="L257" s="192"/>
      <c r="M257" s="192"/>
      <c r="N257" s="192"/>
      <c r="O257" s="192"/>
      <c r="P257" s="192"/>
      <c r="Q257" s="192"/>
      <c r="R257" s="192"/>
      <c r="BE257" s="71"/>
    </row>
    <row r="258" spans="2:18" ht="12.75" hidden="1" outlineLevel="2">
      <c r="B258" s="177"/>
      <c r="C258" s="200" t="s">
        <v>305</v>
      </c>
      <c r="D258" s="177"/>
      <c r="E258" s="177"/>
      <c r="F258" s="177"/>
      <c r="G258" s="177"/>
      <c r="H258" s="177"/>
      <c r="I258" s="177"/>
      <c r="J258" s="177"/>
      <c r="K258" s="177"/>
      <c r="L258" s="177"/>
      <c r="M258" s="177"/>
      <c r="N258" s="177"/>
      <c r="O258" s="177"/>
      <c r="P258" s="177"/>
      <c r="Q258" s="177"/>
      <c r="R258" s="177"/>
    </row>
    <row r="259" spans="2:57" s="71" customFormat="1" ht="8.25" hidden="1" outlineLevel="2">
      <c r="B259" s="187"/>
      <c r="C259" s="187"/>
      <c r="D259" s="187"/>
      <c r="E259" s="187"/>
      <c r="F259" s="187"/>
      <c r="G259" s="187"/>
      <c r="H259" s="187"/>
      <c r="I259" s="187"/>
      <c r="J259" s="187"/>
      <c r="K259" s="187"/>
      <c r="L259" s="187"/>
      <c r="M259" s="187"/>
      <c r="N259" s="187"/>
      <c r="O259" s="187"/>
      <c r="P259" s="187"/>
      <c r="Q259" s="187"/>
      <c r="R259" s="187"/>
      <c r="BE259" s="75"/>
    </row>
    <row r="260" spans="2:57" ht="12.75" hidden="1" outlineLevel="2">
      <c r="B260" s="177"/>
      <c r="C260" s="141"/>
      <c r="D260" s="224" t="s">
        <v>257</v>
      </c>
      <c r="E260" s="177"/>
      <c r="F260" s="177"/>
      <c r="G260" s="177"/>
      <c r="H260" s="177"/>
      <c r="I260" s="177"/>
      <c r="J260" s="177"/>
      <c r="K260" s="177"/>
      <c r="L260" s="177"/>
      <c r="M260" s="177"/>
      <c r="N260" s="177"/>
      <c r="O260" s="177"/>
      <c r="P260" s="177"/>
      <c r="Q260" s="177"/>
      <c r="R260" s="177"/>
      <c r="BE260" s="81"/>
    </row>
    <row r="261" spans="2:18" s="75" customFormat="1" ht="8.25" hidden="1" outlineLevel="2">
      <c r="B261" s="192"/>
      <c r="C261" s="192"/>
      <c r="D261" s="192"/>
      <c r="E261" s="192"/>
      <c r="F261" s="192"/>
      <c r="G261" s="192"/>
      <c r="H261" s="192"/>
      <c r="I261" s="192"/>
      <c r="J261" s="192"/>
      <c r="K261" s="192"/>
      <c r="L261" s="192"/>
      <c r="M261" s="192"/>
      <c r="N261" s="192"/>
      <c r="O261" s="192"/>
      <c r="P261" s="192"/>
      <c r="Q261" s="192"/>
      <c r="R261" s="192"/>
    </row>
    <row r="262" spans="2:57" ht="12.75" hidden="1" outlineLevel="2">
      <c r="B262" s="177"/>
      <c r="C262" s="200" t="s">
        <v>306</v>
      </c>
      <c r="D262" s="177"/>
      <c r="E262" s="177"/>
      <c r="F262" s="177"/>
      <c r="G262" s="177"/>
      <c r="H262" s="177"/>
      <c r="I262" s="177"/>
      <c r="J262" s="177"/>
      <c r="K262" s="177"/>
      <c r="L262" s="177"/>
      <c r="M262" s="177"/>
      <c r="N262" s="177"/>
      <c r="O262" s="177"/>
      <c r="P262" s="177"/>
      <c r="Q262" s="177"/>
      <c r="R262" s="177"/>
      <c r="BE262" s="80"/>
    </row>
    <row r="263" spans="2:18" s="71" customFormat="1" ht="6.75" hidden="1" outlineLevel="2">
      <c r="B263" s="187"/>
      <c r="C263" s="187"/>
      <c r="D263" s="187"/>
      <c r="E263" s="187"/>
      <c r="F263" s="187"/>
      <c r="G263" s="187"/>
      <c r="H263" s="187"/>
      <c r="I263" s="187"/>
      <c r="J263" s="187"/>
      <c r="K263" s="187"/>
      <c r="L263" s="187"/>
      <c r="M263" s="187"/>
      <c r="N263" s="187"/>
      <c r="O263" s="187"/>
      <c r="P263" s="187"/>
      <c r="Q263" s="187"/>
      <c r="R263" s="187"/>
    </row>
    <row r="264" spans="2:57" ht="12.75" hidden="1" outlineLevel="2">
      <c r="B264" s="177"/>
      <c r="C264" s="279">
        <f>IF(F264="Vrachtwagen",1/4,IF(F264="Bus / transporter",1/9,IF(F264="Bus met aanhanger",1/7,IF(F264="Personenauto",1/11,0))))</f>
        <v>0</v>
      </c>
      <c r="D264" s="188" t="s">
        <v>307</v>
      </c>
      <c r="E264" s="177"/>
      <c r="F264" s="324" t="s">
        <v>265</v>
      </c>
      <c r="G264" s="325"/>
      <c r="H264" s="224" t="s">
        <v>768</v>
      </c>
      <c r="I264" s="177"/>
      <c r="J264" s="177"/>
      <c r="K264" s="177"/>
      <c r="L264" s="177"/>
      <c r="M264" s="177"/>
      <c r="N264" s="177"/>
      <c r="O264" s="177"/>
      <c r="P264" s="177"/>
      <c r="Q264" s="177"/>
      <c r="R264" s="177"/>
      <c r="BE264" s="71"/>
    </row>
    <row r="265" spans="2:18" s="75" customFormat="1" ht="8.25" hidden="1" outlineLevel="2">
      <c r="B265" s="192"/>
      <c r="C265" s="192"/>
      <c r="D265" s="192"/>
      <c r="E265" s="192"/>
      <c r="F265" s="192"/>
      <c r="G265" s="192"/>
      <c r="H265" s="192"/>
      <c r="I265" s="192"/>
      <c r="J265" s="192"/>
      <c r="K265" s="192"/>
      <c r="L265" s="192"/>
      <c r="M265" s="192"/>
      <c r="N265" s="192"/>
      <c r="O265" s="192"/>
      <c r="P265" s="192"/>
      <c r="Q265" s="192"/>
      <c r="R265" s="192"/>
    </row>
    <row r="266" spans="2:57" ht="12.75" hidden="1" outlineLevel="2">
      <c r="B266" s="177"/>
      <c r="C266" s="200" t="s">
        <v>308</v>
      </c>
      <c r="D266" s="177"/>
      <c r="E266" s="177"/>
      <c r="F266" s="177"/>
      <c r="G266" s="177"/>
      <c r="H266" s="177"/>
      <c r="I266" s="177"/>
      <c r="J266" s="177"/>
      <c r="K266" s="177"/>
      <c r="L266" s="177"/>
      <c r="M266" s="177"/>
      <c r="N266" s="177"/>
      <c r="O266" s="177"/>
      <c r="P266" s="177"/>
      <c r="Q266" s="177"/>
      <c r="R266" s="177"/>
      <c r="BE266" s="75"/>
    </row>
    <row r="267" spans="2:18" s="71" customFormat="1" ht="6.75" hidden="1" outlineLevel="2">
      <c r="B267" s="187"/>
      <c r="C267" s="187"/>
      <c r="D267" s="187"/>
      <c r="E267" s="187"/>
      <c r="F267" s="187"/>
      <c r="G267" s="187"/>
      <c r="H267" s="187"/>
      <c r="I267" s="187"/>
      <c r="J267" s="187"/>
      <c r="K267" s="187"/>
      <c r="L267" s="187"/>
      <c r="M267" s="187"/>
      <c r="N267" s="187"/>
      <c r="O267" s="187"/>
      <c r="P267" s="187"/>
      <c r="Q267" s="187"/>
      <c r="R267" s="187"/>
    </row>
    <row r="268" spans="2:57" ht="12.75" hidden="1" outlineLevel="2">
      <c r="B268" s="177"/>
      <c r="C268" s="324" t="s">
        <v>265</v>
      </c>
      <c r="D268" s="325"/>
      <c r="E268" s="177"/>
      <c r="F268" s="177"/>
      <c r="G268" s="177"/>
      <c r="H268" s="177"/>
      <c r="I268" s="177"/>
      <c r="J268" s="177"/>
      <c r="K268" s="177"/>
      <c r="L268" s="177"/>
      <c r="M268" s="177"/>
      <c r="N268" s="177"/>
      <c r="O268" s="177"/>
      <c r="P268" s="177"/>
      <c r="Q268" s="177"/>
      <c r="R268" s="177"/>
      <c r="BE268" s="71"/>
    </row>
    <row r="269" spans="2:18" s="75" customFormat="1" ht="8.25" hidden="1" outlineLevel="2">
      <c r="B269" s="192"/>
      <c r="C269" s="192"/>
      <c r="D269" s="192"/>
      <c r="E269" s="192"/>
      <c r="F269" s="192"/>
      <c r="G269" s="192"/>
      <c r="H269" s="192"/>
      <c r="I269" s="192"/>
      <c r="J269" s="192"/>
      <c r="K269" s="192"/>
      <c r="L269" s="192"/>
      <c r="M269" s="192"/>
      <c r="N269" s="192"/>
      <c r="O269" s="192"/>
      <c r="P269" s="192"/>
      <c r="Q269" s="192"/>
      <c r="R269" s="192"/>
    </row>
    <row r="270" spans="2:57" s="81" customFormat="1" ht="11.25" hidden="1" outlineLevel="1">
      <c r="B270" s="219"/>
      <c r="C270" s="219"/>
      <c r="D270" s="219"/>
      <c r="E270" s="219"/>
      <c r="F270" s="219"/>
      <c r="G270" s="219"/>
      <c r="H270" s="219"/>
      <c r="I270" s="219"/>
      <c r="J270" s="219"/>
      <c r="K270" s="219"/>
      <c r="L270" s="219"/>
      <c r="M270" s="219"/>
      <c r="N270" s="219"/>
      <c r="O270" s="219"/>
      <c r="P270" s="219"/>
      <c r="Q270" s="219"/>
      <c r="R270" s="219"/>
      <c r="BE270" s="75"/>
    </row>
    <row r="271" spans="2:18" ht="12.75">
      <c r="B271" s="177"/>
      <c r="C271" s="177"/>
      <c r="D271" s="177"/>
      <c r="E271" s="177"/>
      <c r="F271" s="177"/>
      <c r="G271" s="177"/>
      <c r="H271" s="177"/>
      <c r="I271" s="177"/>
      <c r="J271" s="177"/>
      <c r="K271" s="177"/>
      <c r="L271" s="177"/>
      <c r="M271" s="177"/>
      <c r="N271" s="177"/>
      <c r="O271" s="177"/>
      <c r="P271" s="177"/>
      <c r="Q271" s="177"/>
      <c r="R271" s="177"/>
    </row>
    <row r="272" spans="2:57" ht="18">
      <c r="B272" s="197" t="s">
        <v>497</v>
      </c>
      <c r="C272" s="177"/>
      <c r="D272" s="177"/>
      <c r="E272" s="177"/>
      <c r="F272" s="177"/>
      <c r="G272" s="177"/>
      <c r="H272" s="177"/>
      <c r="I272" s="177"/>
      <c r="J272" s="177"/>
      <c r="K272" s="177"/>
      <c r="L272" s="177"/>
      <c r="M272" s="177"/>
      <c r="N272" s="177"/>
      <c r="O272" s="177"/>
      <c r="P272" s="177"/>
      <c r="Q272" s="177"/>
      <c r="R272" s="177"/>
      <c r="BE272" s="71"/>
    </row>
    <row r="273" spans="2:18" ht="12.75">
      <c r="B273" s="177"/>
      <c r="C273" s="177"/>
      <c r="D273" s="177"/>
      <c r="E273" s="177"/>
      <c r="F273" s="177"/>
      <c r="G273" s="177"/>
      <c r="H273" s="177"/>
      <c r="I273" s="177"/>
      <c r="J273" s="177"/>
      <c r="K273" s="177"/>
      <c r="L273" s="177"/>
      <c r="M273" s="177"/>
      <c r="N273" s="177"/>
      <c r="O273" s="177"/>
      <c r="P273" s="177"/>
      <c r="Q273" s="177"/>
      <c r="R273" s="177"/>
    </row>
    <row r="274" spans="2:57" ht="12.75" hidden="1" outlineLevel="1">
      <c r="B274" s="177"/>
      <c r="C274" s="198" t="s">
        <v>357</v>
      </c>
      <c r="D274" s="177"/>
      <c r="E274" s="177"/>
      <c r="F274" s="177"/>
      <c r="G274" s="177"/>
      <c r="H274" s="177"/>
      <c r="I274" s="177"/>
      <c r="J274" s="177"/>
      <c r="K274" s="177"/>
      <c r="L274" s="177"/>
      <c r="M274" s="177"/>
      <c r="N274" s="177"/>
      <c r="O274" s="177"/>
      <c r="P274" s="177"/>
      <c r="Q274" s="177"/>
      <c r="R274" s="177"/>
      <c r="BE274" s="75"/>
    </row>
    <row r="275" spans="2:18" s="80" customFormat="1" ht="8.25" hidden="1" outlineLevel="2">
      <c r="B275" s="199"/>
      <c r="C275" s="199"/>
      <c r="D275" s="199"/>
      <c r="E275" s="199"/>
      <c r="F275" s="199"/>
      <c r="G275" s="199"/>
      <c r="H275" s="199"/>
      <c r="I275" s="199"/>
      <c r="J275" s="199"/>
      <c r="K275" s="199"/>
      <c r="L275" s="199"/>
      <c r="M275" s="199"/>
      <c r="N275" s="199"/>
      <c r="O275" s="199"/>
      <c r="P275" s="199"/>
      <c r="Q275" s="199"/>
      <c r="R275" s="199"/>
    </row>
    <row r="276" spans="2:57" ht="12.75" hidden="1" outlineLevel="2">
      <c r="B276" s="177"/>
      <c r="C276" s="222" t="s">
        <v>755</v>
      </c>
      <c r="D276" s="177"/>
      <c r="E276" s="177"/>
      <c r="F276" s="177"/>
      <c r="G276" s="177"/>
      <c r="H276" s="210" t="s">
        <v>255</v>
      </c>
      <c r="I276" s="177"/>
      <c r="J276" s="177"/>
      <c r="K276" s="177"/>
      <c r="L276" s="177"/>
      <c r="M276" s="177"/>
      <c r="N276" s="177"/>
      <c r="O276" s="177"/>
      <c r="P276" s="177"/>
      <c r="Q276" s="177"/>
      <c r="R276" s="177"/>
      <c r="BE276" s="71"/>
    </row>
    <row r="277" spans="2:18" s="71" customFormat="1" ht="6.75" hidden="1" outlineLevel="2">
      <c r="B277" s="187"/>
      <c r="C277" s="187"/>
      <c r="D277" s="187"/>
      <c r="E277" s="187"/>
      <c r="F277" s="187"/>
      <c r="G277" s="187"/>
      <c r="H277" s="187"/>
      <c r="I277" s="187"/>
      <c r="J277" s="187"/>
      <c r="K277" s="187"/>
      <c r="L277" s="187"/>
      <c r="M277" s="187"/>
      <c r="N277" s="187"/>
      <c r="O277" s="187"/>
      <c r="P277" s="187"/>
      <c r="Q277" s="187"/>
      <c r="R277" s="187"/>
    </row>
    <row r="278" spans="2:57" ht="12.75" hidden="1" outlineLevel="2">
      <c r="B278" s="177"/>
      <c r="C278" s="223" t="s">
        <v>347</v>
      </c>
      <c r="D278" s="177"/>
      <c r="E278" s="309"/>
      <c r="F278" s="188" t="s">
        <v>253</v>
      </c>
      <c r="G278" s="177"/>
      <c r="H278" s="328" t="s">
        <v>265</v>
      </c>
      <c r="I278" s="329"/>
      <c r="J278" s="177"/>
      <c r="K278" s="177"/>
      <c r="L278" s="177"/>
      <c r="M278" s="177"/>
      <c r="N278" s="177"/>
      <c r="O278" s="177"/>
      <c r="P278" s="177"/>
      <c r="Q278" s="177"/>
      <c r="R278" s="177"/>
      <c r="BE278" s="75"/>
    </row>
    <row r="279" spans="2:18" s="71" customFormat="1" ht="6.75" hidden="1" outlineLevel="2">
      <c r="B279" s="187"/>
      <c r="C279" s="187"/>
      <c r="D279" s="187"/>
      <c r="E279" s="187"/>
      <c r="F279" s="187"/>
      <c r="G279" s="187"/>
      <c r="H279" s="187"/>
      <c r="I279" s="187"/>
      <c r="J279" s="187"/>
      <c r="K279" s="187"/>
      <c r="L279" s="187"/>
      <c r="M279" s="187"/>
      <c r="N279" s="187"/>
      <c r="O279" s="187"/>
      <c r="P279" s="187"/>
      <c r="Q279" s="187"/>
      <c r="R279" s="187"/>
    </row>
    <row r="280" spans="2:18" ht="12.75" hidden="1" outlineLevel="2">
      <c r="B280" s="177"/>
      <c r="C280" s="223" t="s">
        <v>364</v>
      </c>
      <c r="D280" s="177"/>
      <c r="E280" s="328" t="s">
        <v>265</v>
      </c>
      <c r="F280" s="329"/>
      <c r="G280" s="177"/>
      <c r="H280" s="177"/>
      <c r="I280" s="177"/>
      <c r="J280" s="177"/>
      <c r="K280" s="177"/>
      <c r="L280" s="177"/>
      <c r="M280" s="177"/>
      <c r="N280" s="177"/>
      <c r="O280" s="177"/>
      <c r="P280" s="177"/>
      <c r="Q280" s="177"/>
      <c r="R280" s="177"/>
    </row>
    <row r="281" spans="2:18" s="80" customFormat="1" ht="8.25" hidden="1" outlineLevel="2">
      <c r="B281" s="199"/>
      <c r="C281" s="199"/>
      <c r="D281" s="199"/>
      <c r="E281" s="199"/>
      <c r="F281" s="199"/>
      <c r="G281" s="199"/>
      <c r="H281" s="199"/>
      <c r="I281" s="199"/>
      <c r="J281" s="199"/>
      <c r="K281" s="199"/>
      <c r="L281" s="199"/>
      <c r="M281" s="199"/>
      <c r="N281" s="199"/>
      <c r="O281" s="199"/>
      <c r="P281" s="199"/>
      <c r="Q281" s="199"/>
      <c r="R281" s="199"/>
    </row>
    <row r="282" spans="2:18" ht="12.75" hidden="1" outlineLevel="2">
      <c r="B282" s="177"/>
      <c r="C282" s="222" t="s">
        <v>363</v>
      </c>
      <c r="D282" s="177"/>
      <c r="E282" s="177"/>
      <c r="F282" s="177"/>
      <c r="G282" s="177"/>
      <c r="H282" s="210" t="s">
        <v>255</v>
      </c>
      <c r="I282" s="177"/>
      <c r="J282" s="177"/>
      <c r="K282" s="177"/>
      <c r="L282" s="177"/>
      <c r="M282" s="177"/>
      <c r="N282" s="177"/>
      <c r="O282" s="177"/>
      <c r="P282" s="177"/>
      <c r="Q282" s="177"/>
      <c r="R282" s="177"/>
    </row>
    <row r="283" spans="2:18" s="71" customFormat="1" ht="6.75" hidden="1" outlineLevel="2">
      <c r="B283" s="187"/>
      <c r="C283" s="187"/>
      <c r="D283" s="187"/>
      <c r="E283" s="187"/>
      <c r="F283" s="187"/>
      <c r="G283" s="187"/>
      <c r="H283" s="187"/>
      <c r="I283" s="187"/>
      <c r="J283" s="187"/>
      <c r="K283" s="187"/>
      <c r="L283" s="187"/>
      <c r="M283" s="187"/>
      <c r="N283" s="187"/>
      <c r="O283" s="187"/>
      <c r="P283" s="187"/>
      <c r="Q283" s="187"/>
      <c r="R283" s="187"/>
    </row>
    <row r="284" spans="2:57" ht="12.75" hidden="1" outlineLevel="2">
      <c r="B284" s="177"/>
      <c r="C284" s="223" t="s">
        <v>347</v>
      </c>
      <c r="D284" s="177"/>
      <c r="E284" s="309"/>
      <c r="F284" s="188" t="s">
        <v>253</v>
      </c>
      <c r="G284" s="177"/>
      <c r="H284" s="328" t="s">
        <v>265</v>
      </c>
      <c r="I284" s="329"/>
      <c r="J284" s="177"/>
      <c r="K284" s="177"/>
      <c r="L284" s="177"/>
      <c r="M284" s="177"/>
      <c r="N284" s="177"/>
      <c r="O284" s="177"/>
      <c r="P284" s="177"/>
      <c r="Q284" s="177"/>
      <c r="R284" s="177"/>
      <c r="BE284" s="80"/>
    </row>
    <row r="285" spans="2:18" s="71" customFormat="1" ht="6.75" hidden="1" outlineLevel="2">
      <c r="B285" s="187"/>
      <c r="C285" s="187"/>
      <c r="D285" s="187"/>
      <c r="E285" s="187"/>
      <c r="F285" s="187"/>
      <c r="G285" s="187"/>
      <c r="H285" s="187"/>
      <c r="I285" s="187"/>
      <c r="J285" s="187"/>
      <c r="K285" s="187"/>
      <c r="L285" s="187"/>
      <c r="M285" s="187"/>
      <c r="N285" s="187"/>
      <c r="O285" s="187"/>
      <c r="P285" s="187"/>
      <c r="Q285" s="187"/>
      <c r="R285" s="187"/>
    </row>
    <row r="286" spans="2:57" ht="12.75" hidden="1" outlineLevel="2">
      <c r="B286" s="177"/>
      <c r="C286" s="223" t="s">
        <v>365</v>
      </c>
      <c r="D286" s="177"/>
      <c r="E286" s="328" t="s">
        <v>265</v>
      </c>
      <c r="F286" s="329"/>
      <c r="G286" s="177"/>
      <c r="H286" s="177"/>
      <c r="I286" s="177"/>
      <c r="J286" s="177"/>
      <c r="K286" s="177"/>
      <c r="L286" s="177"/>
      <c r="M286" s="177"/>
      <c r="N286" s="177"/>
      <c r="O286" s="177"/>
      <c r="P286" s="177"/>
      <c r="Q286" s="177"/>
      <c r="R286" s="177"/>
      <c r="BE286" s="71"/>
    </row>
    <row r="287" spans="2:18" s="71" customFormat="1" ht="6.75" hidden="1" outlineLevel="2">
      <c r="B287" s="187"/>
      <c r="C287" s="187"/>
      <c r="D287" s="187"/>
      <c r="E287" s="187"/>
      <c r="F287" s="187"/>
      <c r="G287" s="187"/>
      <c r="H287" s="187"/>
      <c r="I287" s="187"/>
      <c r="J287" s="187"/>
      <c r="K287" s="187"/>
      <c r="L287" s="187"/>
      <c r="M287" s="187"/>
      <c r="N287" s="187"/>
      <c r="O287" s="187"/>
      <c r="P287" s="187"/>
      <c r="Q287" s="187"/>
      <c r="R287" s="187"/>
    </row>
    <row r="288" spans="2:57" ht="12.75" hidden="1" outlineLevel="2">
      <c r="B288" s="177"/>
      <c r="C288" s="222" t="s">
        <v>369</v>
      </c>
      <c r="D288" s="177"/>
      <c r="E288" s="342"/>
      <c r="F288" s="342"/>
      <c r="G288" s="177"/>
      <c r="H288" s="210" t="s">
        <v>255</v>
      </c>
      <c r="I288" s="177"/>
      <c r="J288" s="177"/>
      <c r="K288" s="227" t="s">
        <v>632</v>
      </c>
      <c r="L288" s="177"/>
      <c r="M288" s="177"/>
      <c r="N288" s="177"/>
      <c r="O288" s="177"/>
      <c r="P288" s="177"/>
      <c r="Q288" s="177"/>
      <c r="R288" s="177"/>
      <c r="BE288" s="71"/>
    </row>
    <row r="289" spans="2:18" s="80" customFormat="1" ht="8.25" hidden="1" outlineLevel="2">
      <c r="B289" s="199"/>
      <c r="C289" s="199"/>
      <c r="D289" s="199"/>
      <c r="E289" s="199"/>
      <c r="F289" s="199"/>
      <c r="G289" s="199"/>
      <c r="H289" s="187"/>
      <c r="I289" s="187"/>
      <c r="J289" s="199"/>
      <c r="K289" s="199"/>
      <c r="L289" s="199"/>
      <c r="M289" s="199"/>
      <c r="N289" s="199"/>
      <c r="O289" s="199"/>
      <c r="P289" s="199"/>
      <c r="Q289" s="199"/>
      <c r="R289" s="199"/>
    </row>
    <row r="290" spans="2:57" ht="12.75" hidden="1" outlineLevel="2">
      <c r="B290" s="177"/>
      <c r="C290" s="223" t="s">
        <v>347</v>
      </c>
      <c r="D290" s="177"/>
      <c r="E290" s="309"/>
      <c r="F290" s="188" t="s">
        <v>253</v>
      </c>
      <c r="G290" s="177"/>
      <c r="H290" s="328" t="s">
        <v>265</v>
      </c>
      <c r="I290" s="329"/>
      <c r="J290" s="177"/>
      <c r="L290" s="177"/>
      <c r="M290" s="177"/>
      <c r="N290" s="177"/>
      <c r="O290" s="177"/>
      <c r="P290" s="177"/>
      <c r="Q290" s="177"/>
      <c r="R290" s="177"/>
      <c r="BE290" s="81"/>
    </row>
    <row r="291" spans="2:18" s="71" customFormat="1" ht="6.75" hidden="1" outlineLevel="2">
      <c r="B291" s="187"/>
      <c r="C291" s="187"/>
      <c r="D291" s="187"/>
      <c r="E291" s="187"/>
      <c r="F291" s="187"/>
      <c r="G291" s="187"/>
      <c r="J291" s="187"/>
      <c r="K291" s="187"/>
      <c r="L291" s="187"/>
      <c r="M291" s="187"/>
      <c r="N291" s="187"/>
      <c r="O291" s="187"/>
      <c r="P291" s="187"/>
      <c r="Q291" s="187"/>
      <c r="R291" s="187"/>
    </row>
    <row r="292" spans="2:57" ht="12.75" hidden="1" outlineLevel="2">
      <c r="B292" s="177"/>
      <c r="C292" s="222" t="s">
        <v>806</v>
      </c>
      <c r="G292" s="177"/>
      <c r="H292" s="210" t="s">
        <v>255</v>
      </c>
      <c r="I292" s="177"/>
      <c r="J292" s="177"/>
      <c r="K292" s="313" t="s">
        <v>347</v>
      </c>
      <c r="L292" s="177"/>
      <c r="M292" s="177"/>
      <c r="N292" s="177"/>
      <c r="O292" s="177"/>
      <c r="P292" s="177"/>
      <c r="Q292" s="177"/>
      <c r="R292" s="177"/>
      <c r="BE292" s="71"/>
    </row>
    <row r="293" spans="2:18" s="71" customFormat="1" ht="6.75" hidden="1" outlineLevel="2">
      <c r="B293" s="187"/>
      <c r="C293" s="187"/>
      <c r="D293" s="187"/>
      <c r="E293" s="187"/>
      <c r="F293" s="187"/>
      <c r="G293" s="187"/>
      <c r="H293" s="187"/>
      <c r="I293" s="187"/>
      <c r="J293" s="187"/>
      <c r="K293" s="187"/>
      <c r="L293" s="187"/>
      <c r="M293" s="187"/>
      <c r="N293" s="187"/>
      <c r="O293" s="187"/>
      <c r="P293" s="187"/>
      <c r="Q293" s="187"/>
      <c r="R293" s="187"/>
    </row>
    <row r="294" spans="2:57" ht="12.75" hidden="1" outlineLevel="2">
      <c r="B294" s="177"/>
      <c r="C294" s="223" t="s">
        <v>807</v>
      </c>
      <c r="D294" s="177"/>
      <c r="E294" s="328" t="s">
        <v>265</v>
      </c>
      <c r="F294" s="329"/>
      <c r="G294" s="177"/>
      <c r="H294" s="328" t="s">
        <v>265</v>
      </c>
      <c r="I294" s="329"/>
      <c r="K294" s="309"/>
      <c r="L294" s="188" t="s">
        <v>253</v>
      </c>
      <c r="O294" s="177"/>
      <c r="P294" s="177"/>
      <c r="Q294" s="177"/>
      <c r="R294" s="177"/>
      <c r="BE294" s="71"/>
    </row>
    <row r="295" spans="2:18" s="80" customFormat="1" ht="8.25" hidden="1" outlineLevel="2">
      <c r="B295" s="199"/>
      <c r="C295" s="199"/>
      <c r="D295" s="199"/>
      <c r="E295" s="199"/>
      <c r="F295" s="199"/>
      <c r="G295" s="199"/>
      <c r="H295" s="199"/>
      <c r="I295" s="199"/>
      <c r="J295" s="199"/>
      <c r="K295" s="199"/>
      <c r="L295" s="199"/>
      <c r="M295" s="199"/>
      <c r="N295" s="199"/>
      <c r="O295" s="199"/>
      <c r="P295" s="199"/>
      <c r="Q295" s="199"/>
      <c r="R295" s="199"/>
    </row>
    <row r="296" spans="2:57" ht="12.75" hidden="1" outlineLevel="2">
      <c r="B296" s="177"/>
      <c r="C296" s="222" t="s">
        <v>159</v>
      </c>
      <c r="D296" s="177"/>
      <c r="E296" s="177"/>
      <c r="F296" s="177"/>
      <c r="G296" s="177"/>
      <c r="H296" s="210" t="s">
        <v>255</v>
      </c>
      <c r="I296" s="177"/>
      <c r="J296" s="177"/>
      <c r="K296" s="177"/>
      <c r="L296" s="177"/>
      <c r="M296" s="177"/>
      <c r="N296" s="177"/>
      <c r="O296" s="177"/>
      <c r="P296" s="177"/>
      <c r="Q296" s="177"/>
      <c r="R296" s="177"/>
      <c r="BE296" s="71"/>
    </row>
    <row r="297" spans="2:18" s="71" customFormat="1" ht="6.75" hidden="1" outlineLevel="2">
      <c r="B297" s="187"/>
      <c r="C297" s="187"/>
      <c r="D297" s="187"/>
      <c r="E297" s="187"/>
      <c r="F297" s="187"/>
      <c r="G297" s="187"/>
      <c r="H297" s="187"/>
      <c r="I297" s="187"/>
      <c r="J297" s="187"/>
      <c r="K297" s="187"/>
      <c r="L297" s="187"/>
      <c r="M297" s="187"/>
      <c r="N297" s="187"/>
      <c r="O297" s="187"/>
      <c r="P297" s="187"/>
      <c r="Q297" s="187"/>
      <c r="R297" s="187"/>
    </row>
    <row r="298" spans="2:57" ht="12.75" hidden="1" outlineLevel="2">
      <c r="B298" s="177"/>
      <c r="C298" s="223" t="s">
        <v>347</v>
      </c>
      <c r="D298" s="177"/>
      <c r="E298" s="309"/>
      <c r="F298" s="188" t="s">
        <v>253</v>
      </c>
      <c r="G298" s="177"/>
      <c r="H298" s="328" t="s">
        <v>265</v>
      </c>
      <c r="I298" s="329"/>
      <c r="J298" s="177"/>
      <c r="K298" s="177"/>
      <c r="L298" s="177"/>
      <c r="M298" s="177"/>
      <c r="N298" s="177"/>
      <c r="O298" s="177"/>
      <c r="P298" s="177"/>
      <c r="Q298" s="177"/>
      <c r="R298" s="177"/>
      <c r="BE298" s="81"/>
    </row>
    <row r="299" spans="2:18" s="71" customFormat="1" ht="6.75" hidden="1" outlineLevel="2">
      <c r="B299" s="187"/>
      <c r="C299" s="187"/>
      <c r="D299" s="187"/>
      <c r="E299" s="187"/>
      <c r="F299" s="187"/>
      <c r="G299" s="187"/>
      <c r="H299" s="187"/>
      <c r="I299" s="187"/>
      <c r="J299" s="187"/>
      <c r="K299" s="187"/>
      <c r="L299" s="187"/>
      <c r="M299" s="187"/>
      <c r="N299" s="187"/>
      <c r="O299" s="187"/>
      <c r="P299" s="187"/>
      <c r="Q299" s="187"/>
      <c r="R299" s="187"/>
    </row>
    <row r="300" spans="2:57" ht="12.75" hidden="1" outlineLevel="2">
      <c r="B300" s="177"/>
      <c r="C300" s="223" t="s">
        <v>370</v>
      </c>
      <c r="D300" s="177"/>
      <c r="E300" s="328" t="s">
        <v>265</v>
      </c>
      <c r="F300" s="329"/>
      <c r="G300" s="177"/>
      <c r="H300" s="177"/>
      <c r="I300" s="177"/>
      <c r="J300" s="177"/>
      <c r="K300" s="177"/>
      <c r="L300" s="177"/>
      <c r="M300" s="177"/>
      <c r="N300" s="177"/>
      <c r="O300" s="177"/>
      <c r="P300" s="177"/>
      <c r="Q300" s="177"/>
      <c r="R300" s="177"/>
      <c r="BE300" s="71"/>
    </row>
    <row r="301" spans="2:18" s="80" customFormat="1" ht="8.25" hidden="1" outlineLevel="2">
      <c r="B301" s="199"/>
      <c r="C301" s="199"/>
      <c r="D301" s="199"/>
      <c r="E301" s="199"/>
      <c r="F301" s="199"/>
      <c r="G301" s="199"/>
      <c r="H301" s="199"/>
      <c r="I301" s="199"/>
      <c r="J301" s="199"/>
      <c r="K301" s="199"/>
      <c r="L301" s="199"/>
      <c r="M301" s="199"/>
      <c r="N301" s="199"/>
      <c r="O301" s="199"/>
      <c r="P301" s="199"/>
      <c r="Q301" s="199"/>
      <c r="R301" s="199"/>
    </row>
    <row r="302" spans="2:57" ht="12.75" hidden="1" outlineLevel="2">
      <c r="B302" s="177"/>
      <c r="C302" s="222" t="s">
        <v>371</v>
      </c>
      <c r="D302" s="177"/>
      <c r="E302" s="177"/>
      <c r="F302" s="177"/>
      <c r="G302" s="177"/>
      <c r="H302" s="210" t="s">
        <v>255</v>
      </c>
      <c r="I302" s="177"/>
      <c r="J302" s="177"/>
      <c r="K302" s="177"/>
      <c r="L302" s="177"/>
      <c r="M302" s="177"/>
      <c r="N302" s="177"/>
      <c r="O302" s="177"/>
      <c r="P302" s="177"/>
      <c r="Q302" s="177"/>
      <c r="R302" s="177"/>
      <c r="BE302" s="71"/>
    </row>
    <row r="303" spans="2:18" s="71" customFormat="1" ht="6.75" hidden="1" outlineLevel="2">
      <c r="B303" s="187"/>
      <c r="C303" s="187"/>
      <c r="D303" s="187"/>
      <c r="E303" s="187"/>
      <c r="F303" s="187"/>
      <c r="G303" s="187"/>
      <c r="H303" s="187"/>
      <c r="I303" s="187"/>
      <c r="J303" s="187"/>
      <c r="K303" s="187"/>
      <c r="L303" s="187"/>
      <c r="M303" s="187"/>
      <c r="N303" s="187"/>
      <c r="O303" s="187"/>
      <c r="P303" s="187"/>
      <c r="Q303" s="187"/>
      <c r="R303" s="187"/>
    </row>
    <row r="304" spans="2:57" ht="12.75" hidden="1" outlineLevel="2">
      <c r="B304" s="177"/>
      <c r="C304" s="223" t="s">
        <v>347</v>
      </c>
      <c r="D304" s="177"/>
      <c r="E304" s="309"/>
      <c r="F304" s="188" t="s">
        <v>253</v>
      </c>
      <c r="G304" s="177"/>
      <c r="H304" s="328" t="s">
        <v>265</v>
      </c>
      <c r="I304" s="329"/>
      <c r="J304" s="177"/>
      <c r="K304" s="177"/>
      <c r="L304" s="177"/>
      <c r="M304" s="177"/>
      <c r="N304" s="177"/>
      <c r="O304" s="177"/>
      <c r="P304" s="177"/>
      <c r="Q304" s="177"/>
      <c r="R304" s="177"/>
      <c r="BE304" s="81"/>
    </row>
    <row r="305" spans="2:18" s="71" customFormat="1" ht="6.75" hidden="1" outlineLevel="2">
      <c r="B305" s="187"/>
      <c r="C305" s="187"/>
      <c r="D305" s="187"/>
      <c r="E305" s="187"/>
      <c r="F305" s="187"/>
      <c r="G305" s="187"/>
      <c r="H305" s="187"/>
      <c r="I305" s="187"/>
      <c r="J305" s="187"/>
      <c r="K305" s="187"/>
      <c r="L305" s="187"/>
      <c r="M305" s="187"/>
      <c r="N305" s="187"/>
      <c r="O305" s="187"/>
      <c r="P305" s="187"/>
      <c r="Q305" s="187"/>
      <c r="R305" s="187"/>
    </row>
    <row r="306" spans="2:57" ht="12.75" hidden="1" outlineLevel="2">
      <c r="B306" s="177"/>
      <c r="C306" s="223" t="s">
        <v>372</v>
      </c>
      <c r="D306" s="177"/>
      <c r="E306" s="328" t="s">
        <v>265</v>
      </c>
      <c r="F306" s="329"/>
      <c r="G306" s="177"/>
      <c r="H306" s="177"/>
      <c r="I306" s="177"/>
      <c r="J306" s="177"/>
      <c r="K306" s="177"/>
      <c r="L306" s="177"/>
      <c r="M306" s="177"/>
      <c r="N306" s="177"/>
      <c r="O306" s="177"/>
      <c r="P306" s="177"/>
      <c r="Q306" s="177"/>
      <c r="R306" s="177"/>
      <c r="BE306" s="71"/>
    </row>
    <row r="307" spans="2:18" s="80" customFormat="1" ht="8.25" hidden="1" outlineLevel="2">
      <c r="B307" s="199"/>
      <c r="C307" s="199"/>
      <c r="D307" s="199"/>
      <c r="E307" s="199"/>
      <c r="F307" s="199"/>
      <c r="G307" s="199"/>
      <c r="H307" s="199"/>
      <c r="I307" s="199"/>
      <c r="J307" s="199"/>
      <c r="K307" s="199"/>
      <c r="L307" s="199"/>
      <c r="M307" s="199"/>
      <c r="N307" s="199"/>
      <c r="O307" s="199"/>
      <c r="P307" s="199"/>
      <c r="Q307" s="199"/>
      <c r="R307" s="199"/>
    </row>
    <row r="308" spans="2:57" ht="12.75" hidden="1" outlineLevel="2">
      <c r="B308" s="177"/>
      <c r="C308" s="222" t="s">
        <v>376</v>
      </c>
      <c r="D308" s="177"/>
      <c r="E308" s="177"/>
      <c r="F308" s="177"/>
      <c r="G308" s="177"/>
      <c r="H308" s="210" t="s">
        <v>255</v>
      </c>
      <c r="I308" s="177"/>
      <c r="J308" s="177"/>
      <c r="K308" s="177"/>
      <c r="L308" s="177"/>
      <c r="M308" s="177"/>
      <c r="N308" s="177"/>
      <c r="O308" s="177"/>
      <c r="P308" s="177"/>
      <c r="Q308" s="177"/>
      <c r="R308" s="177"/>
      <c r="BE308" s="71"/>
    </row>
    <row r="309" spans="2:18" s="71" customFormat="1" ht="6.75" hidden="1" outlineLevel="2">
      <c r="B309" s="187"/>
      <c r="C309" s="187"/>
      <c r="D309" s="187"/>
      <c r="E309" s="187"/>
      <c r="F309" s="187"/>
      <c r="G309" s="187"/>
      <c r="H309" s="187"/>
      <c r="I309" s="187"/>
      <c r="J309" s="187"/>
      <c r="K309" s="187"/>
      <c r="L309" s="187"/>
      <c r="M309" s="187"/>
      <c r="N309" s="187"/>
      <c r="O309" s="187"/>
      <c r="P309" s="187"/>
      <c r="Q309" s="187"/>
      <c r="R309" s="187"/>
    </row>
    <row r="310" spans="2:57" ht="12.75" hidden="1" outlineLevel="2">
      <c r="B310" s="177"/>
      <c r="C310" s="223" t="s">
        <v>377</v>
      </c>
      <c r="D310" s="177"/>
      <c r="E310" s="177"/>
      <c r="F310" s="316"/>
      <c r="G310" s="188" t="s">
        <v>18</v>
      </c>
      <c r="H310" s="328" t="s">
        <v>265</v>
      </c>
      <c r="I310" s="329"/>
      <c r="J310" s="177"/>
      <c r="K310" s="177"/>
      <c r="L310" s="177"/>
      <c r="M310" s="177"/>
      <c r="N310" s="177"/>
      <c r="O310" s="177"/>
      <c r="P310" s="177"/>
      <c r="Q310" s="177"/>
      <c r="R310" s="177"/>
      <c r="BE310" s="81"/>
    </row>
    <row r="311" spans="2:18" s="80" customFormat="1" ht="8.25" hidden="1" outlineLevel="2">
      <c r="B311" s="199"/>
      <c r="C311" s="199"/>
      <c r="D311" s="199"/>
      <c r="E311" s="199"/>
      <c r="F311" s="199"/>
      <c r="G311" s="199"/>
      <c r="H311" s="199"/>
      <c r="I311" s="199"/>
      <c r="J311" s="199"/>
      <c r="K311" s="199"/>
      <c r="L311" s="199"/>
      <c r="M311" s="199"/>
      <c r="N311" s="199"/>
      <c r="O311" s="199"/>
      <c r="P311" s="199"/>
      <c r="Q311" s="199"/>
      <c r="R311" s="199"/>
    </row>
    <row r="312" spans="2:57" ht="12.75" hidden="1" outlineLevel="2">
      <c r="B312" s="177"/>
      <c r="C312" s="222" t="s">
        <v>160</v>
      </c>
      <c r="D312" s="177"/>
      <c r="E312" s="177"/>
      <c r="F312" s="177"/>
      <c r="G312" s="177"/>
      <c r="H312" s="210" t="s">
        <v>255</v>
      </c>
      <c r="I312" s="177"/>
      <c r="J312" s="177"/>
      <c r="K312" s="177"/>
      <c r="L312" s="177"/>
      <c r="M312" s="177"/>
      <c r="N312" s="177"/>
      <c r="O312" s="177"/>
      <c r="P312" s="177"/>
      <c r="Q312" s="177"/>
      <c r="R312" s="177"/>
      <c r="BE312" s="71"/>
    </row>
    <row r="313" spans="2:18" s="71" customFormat="1" ht="6.75" hidden="1" outlineLevel="2">
      <c r="B313" s="187"/>
      <c r="C313" s="187"/>
      <c r="D313" s="187"/>
      <c r="E313" s="187"/>
      <c r="F313" s="187"/>
      <c r="G313" s="187"/>
      <c r="H313" s="187"/>
      <c r="I313" s="187"/>
      <c r="J313" s="187"/>
      <c r="K313" s="187"/>
      <c r="L313" s="187"/>
      <c r="M313" s="187"/>
      <c r="N313" s="187"/>
      <c r="O313" s="187"/>
      <c r="P313" s="187"/>
      <c r="Q313" s="187"/>
      <c r="R313" s="187"/>
    </row>
    <row r="314" spans="2:57" ht="12.75" hidden="1" outlineLevel="2">
      <c r="B314" s="177"/>
      <c r="C314" s="223" t="s">
        <v>377</v>
      </c>
      <c r="D314" s="177"/>
      <c r="E314" s="177"/>
      <c r="F314" s="316"/>
      <c r="G314" s="188" t="s">
        <v>18</v>
      </c>
      <c r="H314" s="328" t="s">
        <v>265</v>
      </c>
      <c r="I314" s="329"/>
      <c r="J314" s="177"/>
      <c r="K314" s="177"/>
      <c r="L314" s="177"/>
      <c r="M314" s="177"/>
      <c r="N314" s="177"/>
      <c r="O314" s="177"/>
      <c r="P314" s="177"/>
      <c r="Q314" s="177"/>
      <c r="R314" s="177"/>
      <c r="BE314" s="71"/>
    </row>
    <row r="315" spans="2:18" s="80" customFormat="1" ht="8.25" hidden="1" outlineLevel="2">
      <c r="B315" s="199"/>
      <c r="C315" s="199"/>
      <c r="D315" s="199"/>
      <c r="E315" s="199"/>
      <c r="F315" s="199"/>
      <c r="G315" s="199"/>
      <c r="H315" s="199"/>
      <c r="I315" s="199"/>
      <c r="J315" s="199"/>
      <c r="K315" s="199"/>
      <c r="L315" s="199"/>
      <c r="M315" s="199"/>
      <c r="N315" s="199"/>
      <c r="O315" s="199"/>
      <c r="P315" s="199"/>
      <c r="Q315" s="199"/>
      <c r="R315" s="199"/>
    </row>
    <row r="316" spans="2:57" ht="12.75" hidden="1" outlineLevel="2">
      <c r="B316" s="177"/>
      <c r="C316" s="222" t="s">
        <v>161</v>
      </c>
      <c r="D316" s="177"/>
      <c r="E316" s="177"/>
      <c r="F316" s="177"/>
      <c r="G316" s="177"/>
      <c r="H316" s="210" t="s">
        <v>255</v>
      </c>
      <c r="I316" s="177"/>
      <c r="J316" s="177"/>
      <c r="K316" s="177"/>
      <c r="L316" s="177"/>
      <c r="M316" s="177"/>
      <c r="N316" s="177"/>
      <c r="O316" s="177"/>
      <c r="P316" s="177"/>
      <c r="Q316" s="177"/>
      <c r="R316" s="177"/>
      <c r="BE316" s="81"/>
    </row>
    <row r="317" spans="2:18" s="71" customFormat="1" ht="6.75" hidden="1" outlineLevel="2">
      <c r="B317" s="187"/>
      <c r="C317" s="187"/>
      <c r="D317" s="187"/>
      <c r="E317" s="187"/>
      <c r="F317" s="187"/>
      <c r="G317" s="187"/>
      <c r="H317" s="187"/>
      <c r="I317" s="187"/>
      <c r="J317" s="187"/>
      <c r="K317" s="187"/>
      <c r="L317" s="187"/>
      <c r="M317" s="187"/>
      <c r="N317" s="187"/>
      <c r="O317" s="187"/>
      <c r="P317" s="187"/>
      <c r="Q317" s="187"/>
      <c r="R317" s="187"/>
    </row>
    <row r="318" spans="2:57" ht="12.75" hidden="1" outlineLevel="2">
      <c r="B318" s="177"/>
      <c r="C318" s="223" t="s">
        <v>377</v>
      </c>
      <c r="D318" s="177"/>
      <c r="E318" s="177"/>
      <c r="F318" s="316"/>
      <c r="G318" s="188" t="s">
        <v>18</v>
      </c>
      <c r="H318" s="328" t="s">
        <v>265</v>
      </c>
      <c r="I318" s="329"/>
      <c r="J318" s="177"/>
      <c r="K318" s="177"/>
      <c r="L318" s="177"/>
      <c r="M318" s="177"/>
      <c r="N318" s="177"/>
      <c r="O318" s="177"/>
      <c r="P318" s="177"/>
      <c r="Q318" s="177"/>
      <c r="R318" s="177"/>
      <c r="BE318" s="71"/>
    </row>
    <row r="319" spans="2:18" s="75" customFormat="1" ht="8.25" hidden="1" outlineLevel="2">
      <c r="B319" s="192"/>
      <c r="C319" s="192"/>
      <c r="D319" s="192"/>
      <c r="E319" s="192"/>
      <c r="F319" s="192"/>
      <c r="G319" s="192"/>
      <c r="H319" s="192"/>
      <c r="I319" s="192"/>
      <c r="J319" s="192"/>
      <c r="K319" s="192"/>
      <c r="L319" s="192"/>
      <c r="M319" s="192"/>
      <c r="N319" s="192"/>
      <c r="O319" s="192"/>
      <c r="P319" s="192"/>
      <c r="Q319" s="192"/>
      <c r="R319" s="192"/>
    </row>
    <row r="320" spans="2:18" s="81" customFormat="1" ht="11.25" hidden="1" outlineLevel="1">
      <c r="B320" s="219"/>
      <c r="C320" s="219"/>
      <c r="D320" s="219"/>
      <c r="E320" s="219"/>
      <c r="F320" s="219"/>
      <c r="G320" s="219"/>
      <c r="H320" s="219"/>
      <c r="I320" s="219"/>
      <c r="J320" s="219"/>
      <c r="K320" s="219"/>
      <c r="L320" s="219"/>
      <c r="M320" s="219"/>
      <c r="N320" s="219"/>
      <c r="O320" s="219"/>
      <c r="P320" s="219"/>
      <c r="Q320" s="219"/>
      <c r="R320" s="219"/>
    </row>
    <row r="321" spans="2:18" ht="12.75" hidden="1" outlineLevel="1">
      <c r="B321" s="177"/>
      <c r="C321" s="198" t="s">
        <v>378</v>
      </c>
      <c r="D321" s="177"/>
      <c r="E321" s="177"/>
      <c r="F321" s="177"/>
      <c r="G321" s="177"/>
      <c r="H321" s="177"/>
      <c r="I321" s="177"/>
      <c r="J321" s="177"/>
      <c r="K321" s="177"/>
      <c r="L321" s="177"/>
      <c r="M321" s="177"/>
      <c r="N321" s="177"/>
      <c r="O321" s="177"/>
      <c r="P321" s="177"/>
      <c r="Q321" s="177"/>
      <c r="R321" s="177"/>
    </row>
    <row r="322" spans="2:57" s="80" customFormat="1" ht="8.25" hidden="1" outlineLevel="2">
      <c r="B322" s="199"/>
      <c r="C322" s="199"/>
      <c r="D322" s="199"/>
      <c r="E322" s="199"/>
      <c r="F322" s="199"/>
      <c r="G322" s="199"/>
      <c r="H322" s="199"/>
      <c r="I322" s="199"/>
      <c r="J322" s="199"/>
      <c r="K322" s="199"/>
      <c r="L322" s="199"/>
      <c r="M322" s="199"/>
      <c r="N322" s="199"/>
      <c r="O322" s="199"/>
      <c r="P322" s="199"/>
      <c r="Q322" s="199"/>
      <c r="R322" s="199"/>
      <c r="BE322" s="71"/>
    </row>
    <row r="323" spans="2:18" ht="12.75" hidden="1" outlineLevel="2">
      <c r="B323" s="177"/>
      <c r="C323" s="200" t="s">
        <v>379</v>
      </c>
      <c r="D323" s="177"/>
      <c r="E323" s="177"/>
      <c r="F323" s="316"/>
      <c r="G323" s="188" t="s">
        <v>256</v>
      </c>
      <c r="H323" s="177"/>
      <c r="I323" s="177"/>
      <c r="J323" s="177"/>
      <c r="K323" s="177"/>
      <c r="L323" s="177"/>
      <c r="M323" s="177"/>
      <c r="N323" s="177"/>
      <c r="O323" s="177"/>
      <c r="P323" s="177"/>
      <c r="Q323" s="177"/>
      <c r="R323" s="177"/>
    </row>
    <row r="324" spans="2:18" s="71" customFormat="1" ht="6.75" hidden="1" outlineLevel="2">
      <c r="B324" s="187"/>
      <c r="C324" s="187"/>
      <c r="D324" s="187"/>
      <c r="E324" s="187"/>
      <c r="F324" s="187"/>
      <c r="G324" s="187"/>
      <c r="H324" s="187"/>
      <c r="I324" s="187"/>
      <c r="J324" s="187"/>
      <c r="K324" s="187"/>
      <c r="L324" s="187"/>
      <c r="M324" s="187"/>
      <c r="N324" s="187"/>
      <c r="O324" s="187"/>
      <c r="P324" s="187"/>
      <c r="Q324" s="187"/>
      <c r="R324" s="187"/>
    </row>
    <row r="325" spans="2:18" ht="12.75" hidden="1" outlineLevel="2">
      <c r="B325" s="177"/>
      <c r="C325" s="200" t="s">
        <v>172</v>
      </c>
      <c r="D325" s="177"/>
      <c r="E325" s="177"/>
      <c r="F325" s="140"/>
      <c r="G325" s="188" t="s">
        <v>256</v>
      </c>
      <c r="H325" s="177"/>
      <c r="I325" s="177"/>
      <c r="J325" s="177"/>
      <c r="K325" s="177"/>
      <c r="L325" s="177"/>
      <c r="M325" s="177"/>
      <c r="N325" s="177"/>
      <c r="O325" s="177"/>
      <c r="P325" s="177"/>
      <c r="Q325" s="177"/>
      <c r="R325" s="177"/>
    </row>
    <row r="326" spans="2:18" s="71" customFormat="1" ht="6.75" hidden="1" outlineLevel="2">
      <c r="B326" s="187"/>
      <c r="C326" s="187"/>
      <c r="D326" s="187"/>
      <c r="E326" s="187"/>
      <c r="F326" s="187"/>
      <c r="G326" s="187"/>
      <c r="H326" s="187"/>
      <c r="I326" s="187"/>
      <c r="J326" s="187"/>
      <c r="K326" s="187"/>
      <c r="L326" s="187"/>
      <c r="M326" s="187"/>
      <c r="N326" s="187"/>
      <c r="O326" s="187"/>
      <c r="P326" s="187"/>
      <c r="Q326" s="187"/>
      <c r="R326" s="187"/>
    </row>
    <row r="327" spans="2:18" ht="12.75" hidden="1" outlineLevel="2">
      <c r="B327" s="177"/>
      <c r="C327" s="200" t="s">
        <v>174</v>
      </c>
      <c r="D327" s="177"/>
      <c r="E327" s="177"/>
      <c r="F327" s="140"/>
      <c r="G327" s="188" t="s">
        <v>256</v>
      </c>
      <c r="H327" s="177"/>
      <c r="I327" s="177"/>
      <c r="J327" s="177"/>
      <c r="K327" s="177"/>
      <c r="L327" s="177"/>
      <c r="M327" s="177"/>
      <c r="N327" s="177"/>
      <c r="O327" s="177"/>
      <c r="P327" s="177"/>
      <c r="Q327" s="177"/>
      <c r="R327" s="177"/>
    </row>
    <row r="328" spans="2:18" s="71" customFormat="1" ht="6.75" hidden="1" outlineLevel="2">
      <c r="B328" s="187"/>
      <c r="C328" s="187"/>
      <c r="D328" s="187"/>
      <c r="E328" s="187"/>
      <c r="F328" s="187"/>
      <c r="G328" s="187"/>
      <c r="H328" s="187"/>
      <c r="I328" s="187"/>
      <c r="J328" s="187"/>
      <c r="K328" s="187"/>
      <c r="L328" s="187"/>
      <c r="M328" s="187"/>
      <c r="N328" s="187"/>
      <c r="O328" s="187"/>
      <c r="P328" s="187"/>
      <c r="Q328" s="187"/>
      <c r="R328" s="187"/>
    </row>
    <row r="329" spans="2:57" ht="12.75" hidden="1" outlineLevel="2">
      <c r="B329" s="177"/>
      <c r="C329" s="200" t="s">
        <v>176</v>
      </c>
      <c r="D329" s="177"/>
      <c r="E329" s="177"/>
      <c r="F329" s="140"/>
      <c r="G329" s="188" t="s">
        <v>256</v>
      </c>
      <c r="H329" s="177"/>
      <c r="I329" s="177"/>
      <c r="J329" s="177"/>
      <c r="K329" s="177"/>
      <c r="L329" s="177"/>
      <c r="M329" s="177"/>
      <c r="N329" s="177"/>
      <c r="O329" s="177"/>
      <c r="P329" s="177"/>
      <c r="Q329" s="177"/>
      <c r="R329" s="177"/>
      <c r="BE329" s="81"/>
    </row>
    <row r="330" spans="2:18" s="71" customFormat="1" ht="6.75" hidden="1" outlineLevel="2">
      <c r="B330" s="187"/>
      <c r="C330" s="187"/>
      <c r="D330" s="187"/>
      <c r="E330" s="187"/>
      <c r="F330" s="187"/>
      <c r="G330" s="187"/>
      <c r="H330" s="187"/>
      <c r="I330" s="187"/>
      <c r="J330" s="187"/>
      <c r="K330" s="187"/>
      <c r="L330" s="187"/>
      <c r="M330" s="187"/>
      <c r="N330" s="187"/>
      <c r="O330" s="187"/>
      <c r="P330" s="187"/>
      <c r="Q330" s="187"/>
      <c r="R330" s="187"/>
    </row>
    <row r="331" spans="2:57" ht="12.75" hidden="1" outlineLevel="2">
      <c r="B331" s="177"/>
      <c r="C331" s="200" t="s">
        <v>380</v>
      </c>
      <c r="D331" s="177"/>
      <c r="E331" s="177"/>
      <c r="F331" s="140"/>
      <c r="G331" s="188" t="s">
        <v>256</v>
      </c>
      <c r="H331" s="177"/>
      <c r="I331" s="177"/>
      <c r="J331" s="177"/>
      <c r="K331" s="177"/>
      <c r="L331" s="177"/>
      <c r="M331" s="177"/>
      <c r="N331" s="177"/>
      <c r="O331" s="177"/>
      <c r="P331" s="177"/>
      <c r="Q331" s="177"/>
      <c r="R331" s="177"/>
      <c r="BE331" s="80"/>
    </row>
    <row r="332" spans="2:18" s="71" customFormat="1" ht="6.75" hidden="1" outlineLevel="2">
      <c r="B332" s="187"/>
      <c r="C332" s="187"/>
      <c r="D332" s="187"/>
      <c r="E332" s="187"/>
      <c r="F332" s="187"/>
      <c r="G332" s="187"/>
      <c r="H332" s="187"/>
      <c r="I332" s="187"/>
      <c r="J332" s="187"/>
      <c r="K332" s="187"/>
      <c r="L332" s="187"/>
      <c r="M332" s="187"/>
      <c r="N332" s="187"/>
      <c r="O332" s="187"/>
      <c r="P332" s="187"/>
      <c r="Q332" s="187"/>
      <c r="R332" s="187"/>
    </row>
    <row r="333" spans="2:57" ht="12.75" hidden="1" outlineLevel="2">
      <c r="B333" s="177"/>
      <c r="C333" s="200" t="s">
        <v>180</v>
      </c>
      <c r="D333" s="177"/>
      <c r="E333" s="177"/>
      <c r="F333" s="140"/>
      <c r="G333" s="188" t="s">
        <v>256</v>
      </c>
      <c r="H333" s="177"/>
      <c r="I333" s="177"/>
      <c r="J333" s="177"/>
      <c r="K333" s="177"/>
      <c r="L333" s="177"/>
      <c r="M333" s="177"/>
      <c r="N333" s="177"/>
      <c r="O333" s="177"/>
      <c r="P333" s="177"/>
      <c r="Q333" s="177"/>
      <c r="R333" s="177"/>
      <c r="BE333" s="71"/>
    </row>
    <row r="334" spans="2:18" s="71" customFormat="1" ht="6.75" hidden="1" outlineLevel="2">
      <c r="B334" s="187"/>
      <c r="C334" s="187"/>
      <c r="D334" s="187"/>
      <c r="E334" s="187"/>
      <c r="F334" s="187"/>
      <c r="G334" s="187"/>
      <c r="H334" s="187"/>
      <c r="I334" s="187"/>
      <c r="J334" s="187"/>
      <c r="K334" s="187"/>
      <c r="L334" s="187"/>
      <c r="M334" s="187"/>
      <c r="N334" s="187"/>
      <c r="O334" s="187"/>
      <c r="P334" s="187"/>
      <c r="Q334" s="187"/>
      <c r="R334" s="187"/>
    </row>
    <row r="335" spans="2:57" ht="12.75" hidden="1" outlineLevel="2">
      <c r="B335" s="177"/>
      <c r="C335" s="200" t="s">
        <v>381</v>
      </c>
      <c r="D335" s="177"/>
      <c r="E335" s="177"/>
      <c r="F335" s="140"/>
      <c r="G335" s="188" t="s">
        <v>256</v>
      </c>
      <c r="H335" s="177"/>
      <c r="I335" s="177"/>
      <c r="J335" s="177"/>
      <c r="K335" s="177"/>
      <c r="L335" s="177"/>
      <c r="M335" s="177"/>
      <c r="N335" s="177"/>
      <c r="O335" s="177"/>
      <c r="P335" s="177"/>
      <c r="Q335" s="177"/>
      <c r="R335" s="177"/>
      <c r="BE335" s="71"/>
    </row>
    <row r="336" spans="2:18" s="71" customFormat="1" ht="6.75" hidden="1" outlineLevel="2">
      <c r="B336" s="187"/>
      <c r="C336" s="187"/>
      <c r="D336" s="187"/>
      <c r="E336" s="187"/>
      <c r="F336" s="187"/>
      <c r="G336" s="187"/>
      <c r="H336" s="187"/>
      <c r="I336" s="187"/>
      <c r="J336" s="187"/>
      <c r="K336" s="187"/>
      <c r="L336" s="187"/>
      <c r="M336" s="187"/>
      <c r="N336" s="187"/>
      <c r="O336" s="187"/>
      <c r="P336" s="187"/>
      <c r="Q336" s="187"/>
      <c r="R336" s="187"/>
    </row>
    <row r="337" spans="2:57" ht="12.75" hidden="1" outlineLevel="2">
      <c r="B337" s="177"/>
      <c r="C337" s="200" t="s">
        <v>186</v>
      </c>
      <c r="D337" s="177"/>
      <c r="E337" s="177"/>
      <c r="F337" s="316"/>
      <c r="G337" s="188" t="s">
        <v>256</v>
      </c>
      <c r="H337" s="177"/>
      <c r="I337" s="177"/>
      <c r="J337" s="177"/>
      <c r="K337" s="177"/>
      <c r="L337" s="177"/>
      <c r="M337" s="177"/>
      <c r="N337" s="177"/>
      <c r="O337" s="177"/>
      <c r="P337" s="177"/>
      <c r="Q337" s="177"/>
      <c r="R337" s="177"/>
      <c r="BE337" s="71"/>
    </row>
    <row r="338" spans="2:18" s="75" customFormat="1" ht="8.25" hidden="1" outlineLevel="2">
      <c r="B338" s="192"/>
      <c r="C338" s="192"/>
      <c r="D338" s="192"/>
      <c r="E338" s="192"/>
      <c r="F338" s="192"/>
      <c r="G338" s="192"/>
      <c r="H338" s="192"/>
      <c r="I338" s="192"/>
      <c r="J338" s="192"/>
      <c r="K338" s="192"/>
      <c r="L338" s="192"/>
      <c r="M338" s="192"/>
      <c r="N338" s="192"/>
      <c r="O338" s="192"/>
      <c r="P338" s="192"/>
      <c r="Q338" s="192"/>
      <c r="R338" s="192"/>
    </row>
    <row r="339" spans="2:57" s="81" customFormat="1" ht="11.25" hidden="1" outlineLevel="1">
      <c r="B339" s="219"/>
      <c r="C339" s="219"/>
      <c r="D339" s="219"/>
      <c r="E339" s="219"/>
      <c r="F339" s="219"/>
      <c r="G339" s="219"/>
      <c r="H339" s="219"/>
      <c r="I339" s="219"/>
      <c r="J339" s="219"/>
      <c r="K339" s="219"/>
      <c r="L339" s="219"/>
      <c r="M339" s="219"/>
      <c r="N339" s="219"/>
      <c r="O339" s="219"/>
      <c r="P339" s="219"/>
      <c r="Q339" s="219"/>
      <c r="R339" s="219"/>
      <c r="BE339" s="71"/>
    </row>
    <row r="340" spans="2:18" ht="12.75" hidden="1" outlineLevel="1">
      <c r="B340" s="177"/>
      <c r="C340" s="198" t="s">
        <v>382</v>
      </c>
      <c r="D340" s="177"/>
      <c r="E340" s="177"/>
      <c r="F340" s="177"/>
      <c r="G340" s="177"/>
      <c r="H340" s="177"/>
      <c r="I340" s="177"/>
      <c r="J340" s="177"/>
      <c r="K340" s="177"/>
      <c r="L340" s="177"/>
      <c r="M340" s="177"/>
      <c r="N340" s="177"/>
      <c r="O340" s="177"/>
      <c r="P340" s="177"/>
      <c r="Q340" s="177"/>
      <c r="R340" s="177"/>
    </row>
    <row r="341" spans="2:57" s="80" customFormat="1" ht="8.25" hidden="1" outlineLevel="2">
      <c r="B341" s="199"/>
      <c r="C341" s="199"/>
      <c r="D341" s="199"/>
      <c r="E341" s="199"/>
      <c r="F341" s="199"/>
      <c r="G341" s="199"/>
      <c r="H341" s="199"/>
      <c r="I341" s="199"/>
      <c r="J341" s="199"/>
      <c r="K341" s="199"/>
      <c r="L341" s="199"/>
      <c r="M341" s="199"/>
      <c r="N341" s="199"/>
      <c r="O341" s="199"/>
      <c r="P341" s="199"/>
      <c r="Q341" s="199"/>
      <c r="R341" s="199"/>
      <c r="BE341" s="71"/>
    </row>
    <row r="342" spans="2:18" ht="12.75" hidden="1" outlineLevel="2">
      <c r="B342" s="177"/>
      <c r="C342" s="200" t="s">
        <v>379</v>
      </c>
      <c r="D342" s="177"/>
      <c r="E342" s="177"/>
      <c r="F342" s="317">
        <f>F323</f>
        <v>0</v>
      </c>
      <c r="G342" s="213" t="s">
        <v>256</v>
      </c>
      <c r="H342" s="177"/>
      <c r="I342" s="177"/>
      <c r="J342" s="177"/>
      <c r="K342" s="177"/>
      <c r="L342" s="177"/>
      <c r="M342" s="177"/>
      <c r="N342" s="177"/>
      <c r="O342" s="177"/>
      <c r="P342" s="177"/>
      <c r="Q342" s="177"/>
      <c r="R342" s="177"/>
    </row>
    <row r="343" spans="2:18" s="71" customFormat="1" ht="6.75" hidden="1" outlineLevel="2">
      <c r="B343" s="187"/>
      <c r="C343" s="187"/>
      <c r="D343" s="187"/>
      <c r="E343" s="187"/>
      <c r="F343" s="187"/>
      <c r="G343" s="187"/>
      <c r="H343" s="187"/>
      <c r="I343" s="187"/>
      <c r="J343" s="187"/>
      <c r="K343" s="187"/>
      <c r="L343" s="187"/>
      <c r="M343" s="187"/>
      <c r="N343" s="187"/>
      <c r="O343" s="187"/>
      <c r="P343" s="187"/>
      <c r="Q343" s="187"/>
      <c r="R343" s="187"/>
    </row>
    <row r="344" spans="2:18" ht="12.75" hidden="1" outlineLevel="2">
      <c r="B344" s="177"/>
      <c r="C344" s="200" t="s">
        <v>383</v>
      </c>
      <c r="D344" s="177"/>
      <c r="E344" s="177"/>
      <c r="F344" s="140"/>
      <c r="G344" s="188" t="s">
        <v>256</v>
      </c>
      <c r="H344" s="177"/>
      <c r="I344" s="177"/>
      <c r="J344" s="177"/>
      <c r="K344" s="177"/>
      <c r="L344" s="177"/>
      <c r="M344" s="177"/>
      <c r="N344" s="177"/>
      <c r="O344" s="177"/>
      <c r="P344" s="177"/>
      <c r="Q344" s="177"/>
      <c r="R344" s="177"/>
    </row>
    <row r="345" spans="2:18" s="71" customFormat="1" ht="6.75" hidden="1" outlineLevel="2">
      <c r="B345" s="187"/>
      <c r="C345" s="187"/>
      <c r="D345" s="187"/>
      <c r="E345" s="187"/>
      <c r="F345" s="187"/>
      <c r="G345" s="187"/>
      <c r="H345" s="187"/>
      <c r="I345" s="187"/>
      <c r="J345" s="187"/>
      <c r="K345" s="187"/>
      <c r="L345" s="187"/>
      <c r="M345" s="187"/>
      <c r="N345" s="187"/>
      <c r="O345" s="187"/>
      <c r="P345" s="187"/>
      <c r="Q345" s="187"/>
      <c r="R345" s="187"/>
    </row>
    <row r="346" spans="2:18" ht="12.75" hidden="1" outlineLevel="2">
      <c r="B346" s="177"/>
      <c r="C346" s="200" t="s">
        <v>384</v>
      </c>
      <c r="D346" s="177"/>
      <c r="E346" s="177"/>
      <c r="F346" s="177"/>
      <c r="G346" s="177"/>
      <c r="H346" s="168">
        <f>F329/2</f>
        <v>0</v>
      </c>
      <c r="I346" s="213" t="s">
        <v>256</v>
      </c>
      <c r="J346" s="177"/>
      <c r="K346" s="177"/>
      <c r="L346" s="177"/>
      <c r="M346" s="177"/>
      <c r="N346" s="177"/>
      <c r="O346" s="177"/>
      <c r="P346" s="177"/>
      <c r="Q346" s="177"/>
      <c r="R346" s="177"/>
    </row>
    <row r="347" spans="2:18" s="75" customFormat="1" ht="8.25" hidden="1" outlineLevel="2">
      <c r="B347" s="192"/>
      <c r="C347" s="192"/>
      <c r="D347" s="192"/>
      <c r="E347" s="192"/>
      <c r="F347" s="192"/>
      <c r="G347" s="192"/>
      <c r="H347" s="192"/>
      <c r="I347" s="192"/>
      <c r="J347" s="192"/>
      <c r="K347" s="192"/>
      <c r="L347" s="192"/>
      <c r="M347" s="192"/>
      <c r="N347" s="192"/>
      <c r="O347" s="192"/>
      <c r="P347" s="192"/>
      <c r="Q347" s="192"/>
      <c r="R347" s="192"/>
    </row>
    <row r="348" spans="2:18" s="81" customFormat="1" ht="11.25" hidden="1" outlineLevel="1">
      <c r="B348" s="219"/>
      <c r="C348" s="219"/>
      <c r="D348" s="219"/>
      <c r="E348" s="219"/>
      <c r="F348" s="219"/>
      <c r="G348" s="219"/>
      <c r="H348" s="219"/>
      <c r="I348" s="219"/>
      <c r="J348" s="219"/>
      <c r="K348" s="219"/>
      <c r="L348" s="219"/>
      <c r="M348" s="219"/>
      <c r="N348" s="219"/>
      <c r="O348" s="219"/>
      <c r="P348" s="219"/>
      <c r="Q348" s="219"/>
      <c r="R348" s="219"/>
    </row>
    <row r="349" spans="2:18" ht="12.75" hidden="1" outlineLevel="1">
      <c r="B349" s="177"/>
      <c r="C349" s="198" t="s">
        <v>334</v>
      </c>
      <c r="D349" s="177"/>
      <c r="E349" s="177"/>
      <c r="F349" s="177"/>
      <c r="G349" s="177"/>
      <c r="H349" s="177"/>
      <c r="I349" s="177"/>
      <c r="J349" s="177"/>
      <c r="K349" s="177"/>
      <c r="L349" s="177"/>
      <c r="M349" s="177"/>
      <c r="N349" s="177"/>
      <c r="O349" s="177"/>
      <c r="P349" s="177"/>
      <c r="Q349" s="177"/>
      <c r="R349" s="177"/>
    </row>
    <row r="350" spans="2:18" s="80" customFormat="1" ht="8.25" hidden="1" outlineLevel="2">
      <c r="B350" s="199"/>
      <c r="C350" s="199"/>
      <c r="D350" s="199"/>
      <c r="E350" s="199"/>
      <c r="F350" s="199"/>
      <c r="G350" s="199"/>
      <c r="H350" s="199"/>
      <c r="I350" s="199"/>
      <c r="J350" s="199"/>
      <c r="K350" s="199"/>
      <c r="L350" s="199"/>
      <c r="M350" s="199"/>
      <c r="N350" s="199"/>
      <c r="O350" s="199"/>
      <c r="P350" s="199"/>
      <c r="Q350" s="199"/>
      <c r="R350" s="199"/>
    </row>
    <row r="351" spans="2:18" ht="12.75" hidden="1" outlineLevel="2">
      <c r="B351" s="177"/>
      <c r="C351" s="200" t="s">
        <v>289</v>
      </c>
      <c r="D351" s="177"/>
      <c r="E351" s="177"/>
      <c r="F351" s="177"/>
      <c r="G351" s="177"/>
      <c r="H351" s="177"/>
      <c r="I351" s="177"/>
      <c r="J351" s="177"/>
      <c r="K351" s="177"/>
      <c r="L351" s="177"/>
      <c r="M351" s="177"/>
      <c r="N351" s="177"/>
      <c r="O351" s="177"/>
      <c r="P351" s="177"/>
      <c r="Q351" s="177"/>
      <c r="R351" s="177"/>
    </row>
    <row r="352" spans="2:18" s="71" customFormat="1" ht="6.75" hidden="1" outlineLevel="2">
      <c r="B352" s="187"/>
      <c r="C352" s="187"/>
      <c r="D352" s="187"/>
      <c r="E352" s="187"/>
      <c r="F352" s="187"/>
      <c r="G352" s="187"/>
      <c r="H352" s="187"/>
      <c r="I352" s="187"/>
      <c r="J352" s="187"/>
      <c r="K352" s="187"/>
      <c r="L352" s="187"/>
      <c r="M352" s="187"/>
      <c r="N352" s="187"/>
      <c r="O352" s="187"/>
      <c r="P352" s="187"/>
      <c r="Q352" s="187"/>
      <c r="R352" s="187"/>
    </row>
    <row r="353" spans="2:18" ht="12.75" hidden="1" outlineLevel="2">
      <c r="B353" s="177"/>
      <c r="C353" s="141"/>
      <c r="D353" s="188" t="s">
        <v>254</v>
      </c>
      <c r="E353" s="177"/>
      <c r="F353" s="177"/>
      <c r="G353" s="177"/>
      <c r="H353" s="177"/>
      <c r="I353" s="177"/>
      <c r="J353" s="177"/>
      <c r="K353" s="177"/>
      <c r="L353" s="177"/>
      <c r="M353" s="177"/>
      <c r="N353" s="177"/>
      <c r="O353" s="177"/>
      <c r="P353" s="177"/>
      <c r="Q353" s="177"/>
      <c r="R353" s="177"/>
    </row>
    <row r="354" spans="2:57" s="75" customFormat="1" ht="8.25" hidden="1" outlineLevel="2">
      <c r="B354" s="192"/>
      <c r="C354" s="192"/>
      <c r="D354" s="192"/>
      <c r="E354" s="192"/>
      <c r="F354" s="192"/>
      <c r="G354" s="192"/>
      <c r="H354" s="192"/>
      <c r="I354" s="192"/>
      <c r="J354" s="192"/>
      <c r="K354" s="192"/>
      <c r="L354" s="192"/>
      <c r="M354" s="192"/>
      <c r="N354" s="192"/>
      <c r="O354" s="192"/>
      <c r="P354" s="192"/>
      <c r="Q354" s="192"/>
      <c r="R354" s="192"/>
      <c r="BE354" s="71"/>
    </row>
    <row r="355" spans="2:18" ht="12.75" hidden="1" outlineLevel="2">
      <c r="B355" s="177"/>
      <c r="C355" s="200" t="s">
        <v>305</v>
      </c>
      <c r="D355" s="177"/>
      <c r="E355" s="177"/>
      <c r="F355" s="177"/>
      <c r="G355" s="177"/>
      <c r="H355" s="177"/>
      <c r="I355" s="177"/>
      <c r="J355" s="177"/>
      <c r="K355" s="177"/>
      <c r="L355" s="177"/>
      <c r="M355" s="177"/>
      <c r="N355" s="177"/>
      <c r="O355" s="177"/>
      <c r="P355" s="177"/>
      <c r="Q355" s="177"/>
      <c r="R355" s="177"/>
    </row>
    <row r="356" spans="2:57" s="71" customFormat="1" ht="8.25" hidden="1" outlineLevel="2">
      <c r="B356" s="187"/>
      <c r="C356" s="187"/>
      <c r="D356" s="187"/>
      <c r="E356" s="187"/>
      <c r="F356" s="187"/>
      <c r="G356" s="187"/>
      <c r="H356" s="187"/>
      <c r="I356" s="187"/>
      <c r="J356" s="187"/>
      <c r="K356" s="187"/>
      <c r="L356" s="187"/>
      <c r="M356" s="187"/>
      <c r="N356" s="187"/>
      <c r="O356" s="187"/>
      <c r="P356" s="187"/>
      <c r="Q356" s="187"/>
      <c r="R356" s="187"/>
      <c r="BE356" s="75"/>
    </row>
    <row r="357" spans="2:57" ht="12.75" hidden="1" outlineLevel="2">
      <c r="B357" s="177"/>
      <c r="C357" s="141"/>
      <c r="D357" s="224" t="s">
        <v>257</v>
      </c>
      <c r="E357" s="177"/>
      <c r="F357" s="177"/>
      <c r="G357" s="177"/>
      <c r="H357" s="177"/>
      <c r="I357" s="177"/>
      <c r="J357" s="177"/>
      <c r="K357" s="177"/>
      <c r="L357" s="177"/>
      <c r="M357" s="177"/>
      <c r="N357" s="177"/>
      <c r="O357" s="177"/>
      <c r="P357" s="177"/>
      <c r="Q357" s="177"/>
      <c r="R357" s="177"/>
      <c r="BE357" s="81"/>
    </row>
    <row r="358" spans="2:18" s="75" customFormat="1" ht="8.25" hidden="1" outlineLevel="2">
      <c r="B358" s="192"/>
      <c r="C358" s="192"/>
      <c r="D358" s="192"/>
      <c r="E358" s="192"/>
      <c r="F358" s="192"/>
      <c r="G358" s="192"/>
      <c r="H358" s="192"/>
      <c r="I358" s="192"/>
      <c r="J358" s="192"/>
      <c r="K358" s="192"/>
      <c r="L358" s="192"/>
      <c r="M358" s="192"/>
      <c r="N358" s="192"/>
      <c r="O358" s="192"/>
      <c r="P358" s="192"/>
      <c r="Q358" s="192"/>
      <c r="R358" s="192"/>
    </row>
    <row r="359" spans="2:57" ht="12.75" hidden="1" outlineLevel="2">
      <c r="B359" s="177"/>
      <c r="C359" s="200" t="s">
        <v>306</v>
      </c>
      <c r="D359" s="177"/>
      <c r="E359" s="177"/>
      <c r="F359" s="177"/>
      <c r="G359" s="177"/>
      <c r="H359" s="177"/>
      <c r="I359" s="177"/>
      <c r="J359" s="177"/>
      <c r="K359" s="177"/>
      <c r="L359" s="177"/>
      <c r="M359" s="177"/>
      <c r="N359" s="177"/>
      <c r="O359" s="177"/>
      <c r="P359" s="177"/>
      <c r="Q359" s="177"/>
      <c r="R359" s="177"/>
      <c r="BE359" s="80"/>
    </row>
    <row r="360" spans="2:18" s="71" customFormat="1" ht="6.75" hidden="1" outlineLevel="2">
      <c r="B360" s="187"/>
      <c r="C360" s="187"/>
      <c r="D360" s="187"/>
      <c r="E360" s="187"/>
      <c r="F360" s="187"/>
      <c r="G360" s="187"/>
      <c r="H360" s="187"/>
      <c r="I360" s="187"/>
      <c r="J360" s="187"/>
      <c r="K360" s="187"/>
      <c r="L360" s="187"/>
      <c r="M360" s="187"/>
      <c r="N360" s="187"/>
      <c r="O360" s="187"/>
      <c r="P360" s="187"/>
      <c r="Q360" s="187"/>
      <c r="R360" s="187"/>
    </row>
    <row r="361" spans="2:57" ht="12.75" hidden="1" outlineLevel="2">
      <c r="B361" s="177"/>
      <c r="C361" s="279">
        <f>IF(F361="Vrachtwagen",1/4,IF(F361="Bus / transporter",1/9,IF(F361="Bus met aanhanger",1/7,IF(F361="Personenauto",1/11,0))))</f>
        <v>0</v>
      </c>
      <c r="D361" s="188" t="s">
        <v>307</v>
      </c>
      <c r="E361" s="177"/>
      <c r="F361" s="324" t="s">
        <v>265</v>
      </c>
      <c r="G361" s="325"/>
      <c r="H361" s="224" t="s">
        <v>768</v>
      </c>
      <c r="I361" s="177"/>
      <c r="J361" s="177"/>
      <c r="K361" s="177"/>
      <c r="L361" s="177"/>
      <c r="M361" s="177"/>
      <c r="N361" s="177"/>
      <c r="O361" s="177"/>
      <c r="P361" s="177"/>
      <c r="Q361" s="177"/>
      <c r="R361" s="177"/>
      <c r="BE361" s="71"/>
    </row>
    <row r="362" spans="2:18" s="75" customFormat="1" ht="8.25" hidden="1" outlineLevel="2">
      <c r="B362" s="192"/>
      <c r="C362" s="192"/>
      <c r="D362" s="192"/>
      <c r="E362" s="192"/>
      <c r="F362" s="192"/>
      <c r="G362" s="192"/>
      <c r="H362" s="192"/>
      <c r="I362" s="192"/>
      <c r="J362" s="192"/>
      <c r="K362" s="192"/>
      <c r="L362" s="192"/>
      <c r="M362" s="192"/>
      <c r="N362" s="192"/>
      <c r="O362" s="192"/>
      <c r="P362" s="192"/>
      <c r="Q362" s="192"/>
      <c r="R362" s="192"/>
    </row>
    <row r="363" spans="2:57" ht="12.75" hidden="1" outlineLevel="2">
      <c r="B363" s="177"/>
      <c r="C363" s="200" t="s">
        <v>308</v>
      </c>
      <c r="D363" s="177"/>
      <c r="E363" s="177"/>
      <c r="F363" s="177"/>
      <c r="G363" s="177"/>
      <c r="H363" s="177"/>
      <c r="I363" s="177"/>
      <c r="J363" s="177"/>
      <c r="K363" s="177"/>
      <c r="L363" s="177"/>
      <c r="M363" s="177"/>
      <c r="N363" s="177"/>
      <c r="O363" s="177"/>
      <c r="P363" s="177"/>
      <c r="Q363" s="177"/>
      <c r="R363" s="177"/>
      <c r="BE363" s="75"/>
    </row>
    <row r="364" spans="2:18" s="71" customFormat="1" ht="6.75" hidden="1" outlineLevel="2">
      <c r="B364" s="187"/>
      <c r="C364" s="187"/>
      <c r="D364" s="187"/>
      <c r="E364" s="187"/>
      <c r="F364" s="187"/>
      <c r="G364" s="187"/>
      <c r="H364" s="187"/>
      <c r="I364" s="187"/>
      <c r="J364" s="187"/>
      <c r="K364" s="187"/>
      <c r="L364" s="187"/>
      <c r="M364" s="187"/>
      <c r="N364" s="187"/>
      <c r="O364" s="187"/>
      <c r="P364" s="187"/>
      <c r="Q364" s="187"/>
      <c r="R364" s="187"/>
    </row>
    <row r="365" spans="2:57" ht="12.75" hidden="1" outlineLevel="2">
      <c r="B365" s="177"/>
      <c r="C365" s="324" t="s">
        <v>265</v>
      </c>
      <c r="D365" s="325"/>
      <c r="E365" s="177"/>
      <c r="F365" s="177"/>
      <c r="G365" s="177"/>
      <c r="H365" s="177"/>
      <c r="I365" s="177"/>
      <c r="J365" s="177"/>
      <c r="K365" s="177"/>
      <c r="L365" s="177"/>
      <c r="M365" s="177"/>
      <c r="N365" s="177"/>
      <c r="O365" s="177"/>
      <c r="P365" s="177"/>
      <c r="Q365" s="177"/>
      <c r="R365" s="177"/>
      <c r="BE365" s="71"/>
    </row>
    <row r="366" spans="2:18" s="75" customFormat="1" ht="8.25" hidden="1" outlineLevel="2">
      <c r="B366" s="192"/>
      <c r="C366" s="192"/>
      <c r="D366" s="192"/>
      <c r="E366" s="192"/>
      <c r="F366" s="192"/>
      <c r="G366" s="192"/>
      <c r="H366" s="192"/>
      <c r="I366" s="192"/>
      <c r="J366" s="192"/>
      <c r="K366" s="192"/>
      <c r="L366" s="192"/>
      <c r="M366" s="192"/>
      <c r="N366" s="192"/>
      <c r="O366" s="192"/>
      <c r="P366" s="192"/>
      <c r="Q366" s="192"/>
      <c r="R366" s="192"/>
    </row>
    <row r="367" spans="2:57" s="81" customFormat="1" ht="11.25" hidden="1" outlineLevel="1">
      <c r="B367" s="219"/>
      <c r="C367" s="219"/>
      <c r="D367" s="219"/>
      <c r="E367" s="219"/>
      <c r="F367" s="219"/>
      <c r="G367" s="219"/>
      <c r="H367" s="219"/>
      <c r="I367" s="219"/>
      <c r="J367" s="219"/>
      <c r="K367" s="219"/>
      <c r="L367" s="219"/>
      <c r="M367" s="219"/>
      <c r="N367" s="219"/>
      <c r="O367" s="219"/>
      <c r="P367" s="219"/>
      <c r="Q367" s="219"/>
      <c r="R367" s="219"/>
      <c r="BE367" s="75"/>
    </row>
    <row r="368" spans="2:18" ht="12.75">
      <c r="B368" s="177"/>
      <c r="C368" s="177"/>
      <c r="D368" s="177"/>
      <c r="E368" s="177"/>
      <c r="F368" s="177"/>
      <c r="G368" s="177"/>
      <c r="H368" s="177"/>
      <c r="I368" s="177"/>
      <c r="J368" s="177"/>
      <c r="K368" s="177"/>
      <c r="L368" s="177"/>
      <c r="M368" s="177"/>
      <c r="N368" s="177"/>
      <c r="O368" s="177"/>
      <c r="P368" s="177"/>
      <c r="Q368" s="177"/>
      <c r="R368" s="177"/>
    </row>
    <row r="369" spans="2:57" ht="21" customHeight="1">
      <c r="B369" s="197" t="s">
        <v>531</v>
      </c>
      <c r="C369" s="177"/>
      <c r="D369" s="177"/>
      <c r="E369" s="177"/>
      <c r="F369" s="177"/>
      <c r="G369" s="177"/>
      <c r="H369" s="177"/>
      <c r="I369" s="177"/>
      <c r="J369" s="177"/>
      <c r="K369" s="177"/>
      <c r="L369" s="177"/>
      <c r="M369" s="177"/>
      <c r="N369" s="177"/>
      <c r="O369" s="177"/>
      <c r="P369" s="177"/>
      <c r="Q369" s="177"/>
      <c r="R369" s="177"/>
      <c r="BE369" s="71"/>
    </row>
    <row r="370" spans="2:18" ht="12.75">
      <c r="B370" s="177"/>
      <c r="C370" s="177"/>
      <c r="D370" s="177"/>
      <c r="E370" s="177"/>
      <c r="F370" s="177"/>
      <c r="G370" s="177"/>
      <c r="H370" s="177"/>
      <c r="I370" s="177"/>
      <c r="J370" s="177"/>
      <c r="K370" s="177"/>
      <c r="L370" s="177"/>
      <c r="M370" s="177"/>
      <c r="N370" s="177"/>
      <c r="O370" s="177"/>
      <c r="P370" s="177"/>
      <c r="Q370" s="177"/>
      <c r="R370" s="177"/>
    </row>
    <row r="371" spans="2:57" ht="12.75" hidden="1" outlineLevel="1">
      <c r="B371" s="177"/>
      <c r="C371" s="198" t="s">
        <v>385</v>
      </c>
      <c r="D371" s="177"/>
      <c r="E371" s="177"/>
      <c r="F371" s="177"/>
      <c r="G371" s="177"/>
      <c r="H371" s="177"/>
      <c r="I371" s="177"/>
      <c r="J371" s="177"/>
      <c r="K371" s="177"/>
      <c r="L371" s="177"/>
      <c r="M371" s="177"/>
      <c r="N371" s="177"/>
      <c r="O371" s="177"/>
      <c r="P371" s="177"/>
      <c r="Q371" s="177"/>
      <c r="R371" s="177"/>
      <c r="BE371" s="75"/>
    </row>
    <row r="372" spans="2:18" s="80" customFormat="1" ht="8.25" hidden="1" outlineLevel="2">
      <c r="B372" s="199"/>
      <c r="C372" s="199"/>
      <c r="D372" s="199"/>
      <c r="E372" s="199"/>
      <c r="F372" s="199"/>
      <c r="G372" s="199"/>
      <c r="H372" s="199"/>
      <c r="I372" s="199"/>
      <c r="J372" s="199"/>
      <c r="K372" s="199"/>
      <c r="L372" s="199"/>
      <c r="M372" s="199"/>
      <c r="N372" s="199"/>
      <c r="O372" s="199"/>
      <c r="P372" s="199"/>
      <c r="Q372" s="199"/>
      <c r="R372" s="199"/>
    </row>
    <row r="373" spans="2:57" s="77" customFormat="1" ht="12.75" hidden="1" outlineLevel="2">
      <c r="B373" s="202"/>
      <c r="C373" s="200" t="s">
        <v>266</v>
      </c>
      <c r="D373" s="202"/>
      <c r="E373" s="202"/>
      <c r="F373" s="202"/>
      <c r="G373" s="202"/>
      <c r="H373" s="202"/>
      <c r="I373" s="202"/>
      <c r="J373" s="202"/>
      <c r="K373" s="202"/>
      <c r="L373" s="202"/>
      <c r="M373" s="202"/>
      <c r="N373" s="202"/>
      <c r="O373" s="202"/>
      <c r="P373" s="202"/>
      <c r="Q373" s="202"/>
      <c r="R373" s="202"/>
      <c r="BE373" s="71"/>
    </row>
    <row r="374" spans="2:18" s="71" customFormat="1" ht="6.75" hidden="1" outlineLevel="2">
      <c r="B374" s="187"/>
      <c r="C374" s="187"/>
      <c r="D374" s="187"/>
      <c r="E374" s="187"/>
      <c r="F374" s="187"/>
      <c r="G374" s="187"/>
      <c r="H374" s="187"/>
      <c r="I374" s="187"/>
      <c r="J374" s="187"/>
      <c r="K374" s="187"/>
      <c r="L374" s="187"/>
      <c r="M374" s="187"/>
      <c r="N374" s="187"/>
      <c r="O374" s="187"/>
      <c r="P374" s="187"/>
      <c r="Q374" s="187"/>
      <c r="R374" s="187"/>
    </row>
    <row r="375" spans="2:57" s="77" customFormat="1" ht="12.75" hidden="1" outlineLevel="2">
      <c r="B375" s="202"/>
      <c r="C375" s="326" t="s">
        <v>265</v>
      </c>
      <c r="D375" s="341"/>
      <c r="E375" s="327"/>
      <c r="F375" s="202"/>
      <c r="G375" s="225"/>
      <c r="H375" s="202"/>
      <c r="I375" s="202"/>
      <c r="J375" s="202"/>
      <c r="K375" s="202"/>
      <c r="L375" s="202"/>
      <c r="M375" s="202"/>
      <c r="N375" s="202"/>
      <c r="O375" s="202"/>
      <c r="P375" s="202"/>
      <c r="Q375" s="202"/>
      <c r="R375" s="202"/>
      <c r="BE375" s="75"/>
    </row>
    <row r="376" spans="2:18" s="81" customFormat="1" ht="11.25" hidden="1" outlineLevel="2">
      <c r="B376" s="219"/>
      <c r="C376" s="219"/>
      <c r="D376" s="219"/>
      <c r="E376" s="219"/>
      <c r="F376" s="219"/>
      <c r="G376" s="219"/>
      <c r="H376" s="219"/>
      <c r="I376" s="219"/>
      <c r="J376" s="219"/>
      <c r="K376" s="219"/>
      <c r="L376" s="219"/>
      <c r="M376" s="219"/>
      <c r="N376" s="219"/>
      <c r="O376" s="219"/>
      <c r="P376" s="219"/>
      <c r="Q376" s="219"/>
      <c r="R376" s="219"/>
    </row>
    <row r="377" spans="2:18" ht="12.75" hidden="1" outlineLevel="2">
      <c r="B377" s="177"/>
      <c r="C377" s="222" t="s">
        <v>386</v>
      </c>
      <c r="D377" s="177"/>
      <c r="E377" s="177"/>
      <c r="F377" s="177"/>
      <c r="G377" s="210" t="s">
        <v>316</v>
      </c>
      <c r="H377" s="177"/>
      <c r="I377" s="210" t="s">
        <v>260</v>
      </c>
      <c r="J377" s="177"/>
      <c r="K377" s="177"/>
      <c r="L377" s="210" t="s">
        <v>317</v>
      </c>
      <c r="M377" s="177"/>
      <c r="N377" s="177"/>
      <c r="O377" s="210" t="str">
        <f>IF(C375="Zelf details invoeren","Boorwerk d.m.v."," ")</f>
        <v> </v>
      </c>
      <c r="P377" s="177"/>
      <c r="Q377" s="177"/>
      <c r="R377" s="177"/>
    </row>
    <row r="378" spans="2:18" s="71" customFormat="1" ht="6.75" hidden="1" outlineLevel="2">
      <c r="B378" s="187"/>
      <c r="C378" s="187"/>
      <c r="D378" s="187"/>
      <c r="E378" s="187"/>
      <c r="F378" s="187"/>
      <c r="G378" s="187"/>
      <c r="H378" s="187"/>
      <c r="I378" s="187"/>
      <c r="J378" s="187"/>
      <c r="K378" s="187"/>
      <c r="L378" s="187"/>
      <c r="M378" s="187"/>
      <c r="N378" s="187"/>
      <c r="O378" s="187"/>
      <c r="P378" s="187"/>
      <c r="Q378" s="187"/>
      <c r="R378" s="187"/>
    </row>
    <row r="379" spans="2:18" ht="12.75" hidden="1" outlineLevel="2">
      <c r="B379" s="177"/>
      <c r="C379" s="223" t="s">
        <v>315</v>
      </c>
      <c r="D379" s="177"/>
      <c r="E379" s="141"/>
      <c r="F379" s="188" t="s">
        <v>270</v>
      </c>
      <c r="G379" s="141"/>
      <c r="H379" s="188" t="s">
        <v>259</v>
      </c>
      <c r="I379" s="326" t="s">
        <v>265</v>
      </c>
      <c r="J379" s="327"/>
      <c r="K379" s="177"/>
      <c r="L379" s="326" t="s">
        <v>265</v>
      </c>
      <c r="M379" s="327"/>
      <c r="N379" s="177"/>
      <c r="O379" s="332" t="s">
        <v>265</v>
      </c>
      <c r="P379" s="332"/>
      <c r="Q379" s="177"/>
      <c r="R379" s="177"/>
    </row>
    <row r="380" spans="2:18" s="71" customFormat="1" ht="6.75" hidden="1" outlineLevel="2">
      <c r="B380" s="187"/>
      <c r="C380" s="187"/>
      <c r="D380" s="187"/>
      <c r="E380" s="187"/>
      <c r="F380" s="187"/>
      <c r="G380" s="187"/>
      <c r="H380" s="187"/>
      <c r="I380" s="187"/>
      <c r="J380" s="187"/>
      <c r="K380" s="187"/>
      <c r="L380" s="187"/>
      <c r="M380" s="187"/>
      <c r="N380" s="187"/>
      <c r="O380" s="187"/>
      <c r="P380" s="187"/>
      <c r="Q380" s="187"/>
      <c r="R380" s="187"/>
    </row>
    <row r="381" spans="2:57" ht="12.75" hidden="1" outlineLevel="2">
      <c r="B381" s="177"/>
      <c r="C381" s="223" t="s">
        <v>322</v>
      </c>
      <c r="D381" s="177"/>
      <c r="E381" s="141"/>
      <c r="F381" s="188" t="s">
        <v>270</v>
      </c>
      <c r="G381" s="141"/>
      <c r="H381" s="188" t="s">
        <v>259</v>
      </c>
      <c r="I381" s="324" t="s">
        <v>265</v>
      </c>
      <c r="J381" s="325"/>
      <c r="K381" s="177"/>
      <c r="L381" s="324" t="s">
        <v>265</v>
      </c>
      <c r="M381" s="325"/>
      <c r="N381" s="177"/>
      <c r="O381" s="332" t="s">
        <v>265</v>
      </c>
      <c r="P381" s="332"/>
      <c r="Q381" s="177"/>
      <c r="R381" s="177"/>
      <c r="BE381" s="80"/>
    </row>
    <row r="382" spans="2:18" s="71" customFormat="1" ht="6.75" hidden="1" outlineLevel="2">
      <c r="B382" s="187"/>
      <c r="C382" s="187"/>
      <c r="D382" s="187"/>
      <c r="E382" s="187"/>
      <c r="F382" s="187"/>
      <c r="G382" s="187"/>
      <c r="H382" s="187"/>
      <c r="I382" s="187"/>
      <c r="J382" s="187"/>
      <c r="K382" s="187"/>
      <c r="L382" s="187"/>
      <c r="M382" s="187"/>
      <c r="N382" s="187"/>
      <c r="O382" s="187"/>
      <c r="P382" s="187"/>
      <c r="Q382" s="187"/>
      <c r="R382" s="187"/>
    </row>
    <row r="383" spans="2:57" ht="12.75" hidden="1" outlineLevel="2">
      <c r="B383" s="177"/>
      <c r="C383" s="223" t="s">
        <v>323</v>
      </c>
      <c r="D383" s="177"/>
      <c r="E383" s="141"/>
      <c r="F383" s="188" t="s">
        <v>270</v>
      </c>
      <c r="G383" s="141"/>
      <c r="H383" s="188" t="s">
        <v>259</v>
      </c>
      <c r="I383" s="324" t="s">
        <v>265</v>
      </c>
      <c r="J383" s="325"/>
      <c r="K383" s="177"/>
      <c r="L383" s="324" t="s">
        <v>265</v>
      </c>
      <c r="M383" s="325"/>
      <c r="N383" s="177"/>
      <c r="O383" s="332" t="s">
        <v>265</v>
      </c>
      <c r="P383" s="332"/>
      <c r="Q383" s="177"/>
      <c r="R383" s="177"/>
      <c r="BE383" s="71"/>
    </row>
    <row r="384" spans="2:18" s="71" customFormat="1" ht="6.75" hidden="1" outlineLevel="2">
      <c r="B384" s="187"/>
      <c r="C384" s="187"/>
      <c r="D384" s="187"/>
      <c r="E384" s="187"/>
      <c r="F384" s="187"/>
      <c r="G384" s="187"/>
      <c r="H384" s="187"/>
      <c r="I384" s="187"/>
      <c r="J384" s="187"/>
      <c r="K384" s="187"/>
      <c r="L384" s="187"/>
      <c r="M384" s="187"/>
      <c r="N384" s="187"/>
      <c r="O384" s="187"/>
      <c r="P384" s="187"/>
      <c r="Q384" s="187"/>
      <c r="R384" s="187"/>
    </row>
    <row r="385" spans="2:57" ht="12.75" hidden="1" outlineLevel="2">
      <c r="B385" s="177"/>
      <c r="C385" s="223" t="s">
        <v>324</v>
      </c>
      <c r="D385" s="177"/>
      <c r="E385" s="141"/>
      <c r="F385" s="188" t="s">
        <v>270</v>
      </c>
      <c r="G385" s="141"/>
      <c r="H385" s="188" t="s">
        <v>259</v>
      </c>
      <c r="I385" s="324" t="s">
        <v>265</v>
      </c>
      <c r="J385" s="325"/>
      <c r="K385" s="177"/>
      <c r="L385" s="324" t="s">
        <v>265</v>
      </c>
      <c r="M385" s="325"/>
      <c r="N385" s="177"/>
      <c r="O385" s="332" t="s">
        <v>265</v>
      </c>
      <c r="P385" s="332"/>
      <c r="Q385" s="177"/>
      <c r="R385" s="177"/>
      <c r="BE385" s="81"/>
    </row>
    <row r="386" spans="2:18" s="81" customFormat="1" ht="11.25" hidden="1" outlineLevel="2">
      <c r="B386" s="219"/>
      <c r="C386" s="219"/>
      <c r="D386" s="219"/>
      <c r="E386" s="219"/>
      <c r="F386" s="219"/>
      <c r="G386" s="219"/>
      <c r="H386" s="219"/>
      <c r="I386" s="219"/>
      <c r="J386" s="219"/>
      <c r="K386" s="219"/>
      <c r="L386" s="219"/>
      <c r="M386" s="219"/>
      <c r="N386" s="219"/>
      <c r="O386" s="219"/>
      <c r="P386" s="219"/>
      <c r="Q386" s="219"/>
      <c r="R386" s="219"/>
    </row>
    <row r="387" spans="2:57" ht="12.75" hidden="1" outlineLevel="2">
      <c r="B387" s="177"/>
      <c r="C387" s="222" t="s">
        <v>387</v>
      </c>
      <c r="D387" s="177"/>
      <c r="E387" s="177"/>
      <c r="F387" s="177"/>
      <c r="G387" s="210" t="s">
        <v>389</v>
      </c>
      <c r="H387" s="177"/>
      <c r="I387" s="210" t="s">
        <v>390</v>
      </c>
      <c r="J387" s="177"/>
      <c r="K387" s="177"/>
      <c r="L387" s="210" t="s">
        <v>391</v>
      </c>
      <c r="M387" s="177"/>
      <c r="N387" s="177"/>
      <c r="O387" s="177"/>
      <c r="P387" s="177"/>
      <c r="Q387" s="177"/>
      <c r="R387" s="177"/>
      <c r="BE387" s="71"/>
    </row>
    <row r="388" spans="2:18" s="71" customFormat="1" ht="6.75" hidden="1" outlineLevel="2">
      <c r="B388" s="187"/>
      <c r="C388" s="187"/>
      <c r="D388" s="187"/>
      <c r="E388" s="187"/>
      <c r="F388" s="187"/>
      <c r="G388" s="187"/>
      <c r="H388" s="187"/>
      <c r="I388" s="187"/>
      <c r="J388" s="187"/>
      <c r="K388" s="187"/>
      <c r="L388" s="187"/>
      <c r="M388" s="187"/>
      <c r="N388" s="187"/>
      <c r="O388" s="187"/>
      <c r="P388" s="187"/>
      <c r="Q388" s="187"/>
      <c r="R388" s="187"/>
    </row>
    <row r="389" spans="2:57" ht="12.75" hidden="1" outlineLevel="2">
      <c r="B389" s="177"/>
      <c r="C389" s="223" t="s">
        <v>388</v>
      </c>
      <c r="D389" s="177"/>
      <c r="E389" s="141"/>
      <c r="F389" s="188" t="s">
        <v>270</v>
      </c>
      <c r="G389" s="141"/>
      <c r="H389" s="188" t="s">
        <v>259</v>
      </c>
      <c r="I389" s="326" t="s">
        <v>265</v>
      </c>
      <c r="J389" s="327"/>
      <c r="K389" s="177"/>
      <c r="L389" s="326" t="s">
        <v>265</v>
      </c>
      <c r="M389" s="327"/>
      <c r="N389" s="177"/>
      <c r="O389" s="177"/>
      <c r="P389" s="177"/>
      <c r="Q389" s="177"/>
      <c r="R389" s="177"/>
      <c r="BE389" s="71"/>
    </row>
    <row r="390" spans="2:18" s="71" customFormat="1" ht="6.75" hidden="1" outlineLevel="2">
      <c r="B390" s="187"/>
      <c r="C390" s="187"/>
      <c r="D390" s="187"/>
      <c r="E390" s="187"/>
      <c r="F390" s="187"/>
      <c r="G390" s="187"/>
      <c r="H390" s="187"/>
      <c r="I390" s="187"/>
      <c r="J390" s="187"/>
      <c r="K390" s="187"/>
      <c r="L390" s="187"/>
      <c r="M390" s="187"/>
      <c r="N390" s="187"/>
      <c r="O390" s="187"/>
      <c r="P390" s="187"/>
      <c r="Q390" s="187"/>
      <c r="R390" s="187"/>
    </row>
    <row r="391" spans="2:57" ht="12.75" hidden="1" outlineLevel="2">
      <c r="B391" s="177"/>
      <c r="C391" s="223" t="s">
        <v>392</v>
      </c>
      <c r="D391" s="177"/>
      <c r="E391" s="141"/>
      <c r="F391" s="188" t="s">
        <v>270</v>
      </c>
      <c r="G391" s="141"/>
      <c r="H391" s="188" t="s">
        <v>259</v>
      </c>
      <c r="I391" s="324" t="s">
        <v>265</v>
      </c>
      <c r="J391" s="325"/>
      <c r="K391" s="177"/>
      <c r="L391" s="324" t="s">
        <v>265</v>
      </c>
      <c r="M391" s="325"/>
      <c r="N391" s="177"/>
      <c r="O391" s="177"/>
      <c r="P391" s="177"/>
      <c r="Q391" s="177"/>
      <c r="R391" s="177"/>
      <c r="BE391" s="71"/>
    </row>
    <row r="392" spans="2:18" s="71" customFormat="1" ht="6.75" hidden="1" outlineLevel="2">
      <c r="B392" s="187"/>
      <c r="C392" s="187"/>
      <c r="D392" s="187"/>
      <c r="E392" s="187"/>
      <c r="F392" s="187"/>
      <c r="G392" s="187"/>
      <c r="H392" s="187"/>
      <c r="I392" s="187"/>
      <c r="J392" s="187"/>
      <c r="K392" s="187"/>
      <c r="L392" s="187"/>
      <c r="M392" s="187"/>
      <c r="N392" s="187"/>
      <c r="O392" s="187"/>
      <c r="P392" s="187"/>
      <c r="Q392" s="187"/>
      <c r="R392" s="187"/>
    </row>
    <row r="393" spans="2:57" ht="12.75" hidden="1" outlineLevel="2">
      <c r="B393" s="177"/>
      <c r="C393" s="223" t="s">
        <v>393</v>
      </c>
      <c r="D393" s="177"/>
      <c r="E393" s="141"/>
      <c r="F393" s="188" t="s">
        <v>270</v>
      </c>
      <c r="G393" s="141"/>
      <c r="H393" s="188" t="s">
        <v>259</v>
      </c>
      <c r="I393" s="324" t="s">
        <v>265</v>
      </c>
      <c r="J393" s="325"/>
      <c r="K393" s="177"/>
      <c r="L393" s="324" t="s">
        <v>265</v>
      </c>
      <c r="M393" s="325"/>
      <c r="N393" s="177"/>
      <c r="O393" s="177"/>
      <c r="P393" s="177"/>
      <c r="Q393" s="177"/>
      <c r="R393" s="177"/>
      <c r="BE393" s="71"/>
    </row>
    <row r="394" spans="2:18" s="71" customFormat="1" ht="6.75" hidden="1" outlineLevel="2">
      <c r="B394" s="187"/>
      <c r="C394" s="187"/>
      <c r="D394" s="187"/>
      <c r="E394" s="187"/>
      <c r="F394" s="187"/>
      <c r="G394" s="187"/>
      <c r="H394" s="187"/>
      <c r="I394" s="187"/>
      <c r="J394" s="187"/>
      <c r="K394" s="187"/>
      <c r="L394" s="187"/>
      <c r="M394" s="187"/>
      <c r="N394" s="187"/>
      <c r="O394" s="187"/>
      <c r="P394" s="187"/>
      <c r="Q394" s="187"/>
      <c r="R394" s="187"/>
    </row>
    <row r="395" spans="2:57" ht="12.75" hidden="1" outlineLevel="2">
      <c r="B395" s="177"/>
      <c r="C395" s="223" t="s">
        <v>394</v>
      </c>
      <c r="D395" s="177"/>
      <c r="E395" s="141"/>
      <c r="F395" s="188" t="s">
        <v>270</v>
      </c>
      <c r="G395" s="141"/>
      <c r="H395" s="188" t="s">
        <v>259</v>
      </c>
      <c r="I395" s="324" t="s">
        <v>265</v>
      </c>
      <c r="J395" s="325"/>
      <c r="K395" s="177"/>
      <c r="L395" s="324" t="s">
        <v>265</v>
      </c>
      <c r="M395" s="325"/>
      <c r="N395" s="177"/>
      <c r="O395" s="177"/>
      <c r="P395" s="177"/>
      <c r="Q395" s="177"/>
      <c r="R395" s="177"/>
      <c r="BE395" s="81"/>
    </row>
    <row r="396" spans="2:18" s="81" customFormat="1" ht="11.25" hidden="1" outlineLevel="2">
      <c r="B396" s="219"/>
      <c r="C396" s="219"/>
      <c r="D396" s="219"/>
      <c r="E396" s="219"/>
      <c r="F396" s="219"/>
      <c r="G396" s="219"/>
      <c r="H396" s="219"/>
      <c r="I396" s="219"/>
      <c r="J396" s="219"/>
      <c r="K396" s="219"/>
      <c r="L396" s="219"/>
      <c r="M396" s="219"/>
      <c r="N396" s="219"/>
      <c r="O396" s="219"/>
      <c r="P396" s="219"/>
      <c r="Q396" s="219"/>
      <c r="R396" s="219"/>
    </row>
    <row r="397" spans="2:57" ht="12.75" hidden="1" outlineLevel="2">
      <c r="B397" s="177"/>
      <c r="C397" s="222" t="s">
        <v>395</v>
      </c>
      <c r="D397" s="177"/>
      <c r="E397" s="177"/>
      <c r="F397" s="177"/>
      <c r="G397" s="177"/>
      <c r="H397" s="177"/>
      <c r="I397" s="210" t="s">
        <v>255</v>
      </c>
      <c r="J397" s="177"/>
      <c r="K397" s="177"/>
      <c r="L397" s="177"/>
      <c r="M397" s="177"/>
      <c r="N397" s="177"/>
      <c r="O397" s="177"/>
      <c r="P397" s="177"/>
      <c r="Q397" s="177"/>
      <c r="R397" s="177"/>
      <c r="BE397" s="71"/>
    </row>
    <row r="398" spans="2:18" s="71" customFormat="1" ht="6.75" hidden="1" outlineLevel="2">
      <c r="B398" s="187"/>
      <c r="C398" s="187"/>
      <c r="D398" s="187"/>
      <c r="E398" s="187"/>
      <c r="F398" s="187"/>
      <c r="G398" s="187"/>
      <c r="H398" s="187"/>
      <c r="I398" s="187"/>
      <c r="J398" s="187"/>
      <c r="K398" s="187"/>
      <c r="L398" s="187"/>
      <c r="M398" s="187"/>
      <c r="N398" s="187"/>
      <c r="O398" s="187"/>
      <c r="P398" s="187"/>
      <c r="Q398" s="187"/>
      <c r="R398" s="187"/>
    </row>
    <row r="399" spans="2:57" ht="12.75" hidden="1" outlineLevel="2">
      <c r="B399" s="177"/>
      <c r="C399" s="223" t="s">
        <v>396</v>
      </c>
      <c r="D399" s="177"/>
      <c r="E399" s="177"/>
      <c r="F399" s="309"/>
      <c r="G399" s="310" t="s">
        <v>259</v>
      </c>
      <c r="H399" s="235"/>
      <c r="I399" s="328" t="s">
        <v>265</v>
      </c>
      <c r="J399" s="329"/>
      <c r="K399" s="177"/>
      <c r="L399" s="177"/>
      <c r="M399" s="177"/>
      <c r="N399" s="177"/>
      <c r="O399" s="177"/>
      <c r="P399" s="177"/>
      <c r="Q399" s="177"/>
      <c r="R399" s="177"/>
      <c r="BE399" s="71"/>
    </row>
    <row r="400" spans="2:18" s="71" customFormat="1" ht="6.75" hidden="1" outlineLevel="2">
      <c r="B400" s="187"/>
      <c r="C400" s="187"/>
      <c r="D400" s="187"/>
      <c r="E400" s="187"/>
      <c r="F400" s="187"/>
      <c r="G400" s="187"/>
      <c r="H400" s="187"/>
      <c r="I400" s="187"/>
      <c r="J400" s="187"/>
      <c r="K400" s="187"/>
      <c r="L400" s="187"/>
      <c r="M400" s="187"/>
      <c r="N400" s="187"/>
      <c r="O400" s="187"/>
      <c r="P400" s="187"/>
      <c r="Q400" s="187"/>
      <c r="R400" s="187"/>
    </row>
    <row r="401" spans="2:57" ht="12.75" hidden="1" outlineLevel="2">
      <c r="B401" s="177"/>
      <c r="C401" s="223" t="s">
        <v>398</v>
      </c>
      <c r="D401" s="177"/>
      <c r="E401" s="177"/>
      <c r="F401" s="309"/>
      <c r="G401" s="188" t="s">
        <v>259</v>
      </c>
      <c r="H401" s="177"/>
      <c r="I401" s="177"/>
      <c r="J401" s="177"/>
      <c r="K401" s="177"/>
      <c r="L401" s="177"/>
      <c r="M401" s="177"/>
      <c r="N401" s="177"/>
      <c r="O401" s="177"/>
      <c r="P401" s="177"/>
      <c r="Q401" s="177"/>
      <c r="R401" s="177"/>
      <c r="BE401" s="71"/>
    </row>
    <row r="402" spans="2:18" s="71" customFormat="1" ht="6.75" hidden="1" outlineLevel="2">
      <c r="B402" s="187"/>
      <c r="C402" s="187"/>
      <c r="D402" s="187"/>
      <c r="E402" s="187"/>
      <c r="F402" s="237"/>
      <c r="G402" s="187"/>
      <c r="H402" s="187"/>
      <c r="I402" s="187"/>
      <c r="J402" s="187"/>
      <c r="K402" s="187"/>
      <c r="L402" s="187"/>
      <c r="M402" s="187"/>
      <c r="N402" s="187"/>
      <c r="O402" s="187"/>
      <c r="P402" s="187"/>
      <c r="Q402" s="187"/>
      <c r="R402" s="187"/>
    </row>
    <row r="403" spans="2:57" ht="12.75" hidden="1" outlineLevel="2">
      <c r="B403" s="177"/>
      <c r="C403" s="223" t="s">
        <v>397</v>
      </c>
      <c r="D403" s="177"/>
      <c r="E403" s="177"/>
      <c r="F403" s="309"/>
      <c r="G403" s="188" t="s">
        <v>259</v>
      </c>
      <c r="H403" s="177"/>
      <c r="I403" s="177"/>
      <c r="J403" s="177"/>
      <c r="K403" s="177"/>
      <c r="L403" s="177"/>
      <c r="M403" s="177"/>
      <c r="N403" s="177"/>
      <c r="O403" s="177"/>
      <c r="P403" s="177"/>
      <c r="Q403" s="177"/>
      <c r="R403" s="177"/>
      <c r="BE403" s="71"/>
    </row>
    <row r="404" spans="2:18" s="75" customFormat="1" ht="8.25" hidden="1" outlineLevel="2">
      <c r="B404" s="192"/>
      <c r="C404" s="228"/>
      <c r="D404" s="192"/>
      <c r="E404" s="192"/>
      <c r="F404" s="229"/>
      <c r="G404" s="230"/>
      <c r="H404" s="192"/>
      <c r="I404" s="192"/>
      <c r="J404" s="192"/>
      <c r="K404" s="192"/>
      <c r="L404" s="192"/>
      <c r="M404" s="192"/>
      <c r="N404" s="192"/>
      <c r="O404" s="192"/>
      <c r="P404" s="192"/>
      <c r="Q404" s="192"/>
      <c r="R404" s="192"/>
    </row>
    <row r="405" spans="2:18" s="81" customFormat="1" ht="11.25" hidden="1" outlineLevel="1">
      <c r="B405" s="219"/>
      <c r="C405" s="219"/>
      <c r="D405" s="219"/>
      <c r="E405" s="219"/>
      <c r="F405" s="219"/>
      <c r="G405" s="219"/>
      <c r="H405" s="219"/>
      <c r="I405" s="219"/>
      <c r="J405" s="219"/>
      <c r="K405" s="219"/>
      <c r="L405" s="219"/>
      <c r="M405" s="219"/>
      <c r="N405" s="219"/>
      <c r="O405" s="219"/>
      <c r="P405" s="219"/>
      <c r="Q405" s="219"/>
      <c r="R405" s="219"/>
    </row>
    <row r="406" spans="1:18" ht="12.75" hidden="1" outlineLevel="1">
      <c r="A406" s="311"/>
      <c r="B406" s="177"/>
      <c r="C406" s="198" t="s">
        <v>399</v>
      </c>
      <c r="D406" s="177"/>
      <c r="E406" s="177"/>
      <c r="F406" s="177"/>
      <c r="G406" s="177"/>
      <c r="H406" s="177"/>
      <c r="I406" s="177"/>
      <c r="J406" s="177"/>
      <c r="K406" s="177"/>
      <c r="L406" s="177"/>
      <c r="M406" s="177"/>
      <c r="N406" s="177"/>
      <c r="O406" s="177"/>
      <c r="P406" s="177"/>
      <c r="Q406" s="177"/>
      <c r="R406" s="177"/>
    </row>
    <row r="407" spans="2:57" s="80" customFormat="1" ht="8.25" hidden="1" outlineLevel="2">
      <c r="B407" s="199"/>
      <c r="C407" s="199"/>
      <c r="D407" s="199"/>
      <c r="E407" s="199"/>
      <c r="F407" s="199"/>
      <c r="G407" s="199"/>
      <c r="H407" s="199"/>
      <c r="I407" s="199"/>
      <c r="J407" s="199"/>
      <c r="K407" s="199"/>
      <c r="L407" s="199"/>
      <c r="M407" s="199"/>
      <c r="N407" s="199"/>
      <c r="O407" s="199"/>
      <c r="P407" s="199"/>
      <c r="Q407" s="199"/>
      <c r="R407" s="199"/>
      <c r="BE407" s="71"/>
    </row>
    <row r="408" spans="2:18" ht="12.75" hidden="1" outlineLevel="2">
      <c r="B408" s="177"/>
      <c r="C408" s="200" t="s">
        <v>400</v>
      </c>
      <c r="D408" s="177"/>
      <c r="E408" s="177"/>
      <c r="F408" s="177"/>
      <c r="G408" s="177"/>
      <c r="H408" s="309"/>
      <c r="I408" s="188" t="s">
        <v>253</v>
      </c>
      <c r="J408" s="177"/>
      <c r="K408" s="177"/>
      <c r="L408" s="177"/>
      <c r="M408" s="177"/>
      <c r="N408" s="177"/>
      <c r="O408" s="177"/>
      <c r="P408" s="177"/>
      <c r="Q408" s="177"/>
      <c r="R408" s="177"/>
    </row>
    <row r="409" spans="2:18" s="71" customFormat="1" ht="6.75" hidden="1" outlineLevel="2">
      <c r="B409" s="187"/>
      <c r="C409" s="187"/>
      <c r="D409" s="187"/>
      <c r="E409" s="187"/>
      <c r="F409" s="187"/>
      <c r="G409" s="187"/>
      <c r="H409" s="187"/>
      <c r="I409" s="187"/>
      <c r="J409" s="187"/>
      <c r="K409" s="187"/>
      <c r="L409" s="187"/>
      <c r="M409" s="187"/>
      <c r="N409" s="187"/>
      <c r="O409" s="187"/>
      <c r="P409" s="187"/>
      <c r="Q409" s="187"/>
      <c r="R409" s="187"/>
    </row>
    <row r="410" spans="2:18" ht="12.75" hidden="1" outlineLevel="2">
      <c r="B410" s="177"/>
      <c r="C410" s="200" t="s">
        <v>403</v>
      </c>
      <c r="D410" s="177"/>
      <c r="E410" s="177"/>
      <c r="F410" s="177"/>
      <c r="G410" s="177"/>
      <c r="H410" s="309"/>
      <c r="I410" s="188" t="s">
        <v>253</v>
      </c>
      <c r="J410" s="177"/>
      <c r="K410" s="177"/>
      <c r="L410" s="177"/>
      <c r="M410" s="177"/>
      <c r="N410" s="177"/>
      <c r="O410" s="177"/>
      <c r="P410" s="177"/>
      <c r="Q410" s="177"/>
      <c r="R410" s="177"/>
    </row>
    <row r="411" spans="2:18" s="71" customFormat="1" ht="6.75" hidden="1" outlineLevel="2">
      <c r="B411" s="187"/>
      <c r="C411" s="187"/>
      <c r="D411" s="187"/>
      <c r="E411" s="187"/>
      <c r="F411" s="187"/>
      <c r="G411" s="187"/>
      <c r="H411" s="187"/>
      <c r="I411" s="187"/>
      <c r="J411" s="187"/>
      <c r="K411" s="187"/>
      <c r="L411" s="187"/>
      <c r="M411" s="187"/>
      <c r="N411" s="187"/>
      <c r="O411" s="187"/>
      <c r="P411" s="187"/>
      <c r="Q411" s="187"/>
      <c r="R411" s="187"/>
    </row>
    <row r="412" spans="2:18" ht="12.75" hidden="1" outlineLevel="2">
      <c r="B412" s="177"/>
      <c r="C412" s="200" t="s">
        <v>402</v>
      </c>
      <c r="D412" s="177"/>
      <c r="E412" s="177"/>
      <c r="F412" s="177"/>
      <c r="G412" s="177"/>
      <c r="H412" s="309"/>
      <c r="I412" s="188" t="s">
        <v>253</v>
      </c>
      <c r="J412" s="177"/>
      <c r="K412" s="177"/>
      <c r="L412" s="177"/>
      <c r="M412" s="177"/>
      <c r="N412" s="177"/>
      <c r="O412" s="177"/>
      <c r="P412" s="177"/>
      <c r="Q412" s="177"/>
      <c r="R412" s="177"/>
    </row>
    <row r="413" spans="2:18" s="75" customFormat="1" ht="8.25" hidden="1" outlineLevel="2">
      <c r="B413" s="192"/>
      <c r="C413" s="192"/>
      <c r="D413" s="192"/>
      <c r="E413" s="192"/>
      <c r="F413" s="192"/>
      <c r="G413" s="192"/>
      <c r="H413" s="192"/>
      <c r="I413" s="192"/>
      <c r="J413" s="192"/>
      <c r="K413" s="192"/>
      <c r="L413" s="192"/>
      <c r="M413" s="192"/>
      <c r="N413" s="192"/>
      <c r="O413" s="192"/>
      <c r="P413" s="192"/>
      <c r="Q413" s="192"/>
      <c r="R413" s="192"/>
    </row>
    <row r="414" spans="2:18" s="81" customFormat="1" ht="11.25" hidden="1" outlineLevel="1">
      <c r="B414" s="219"/>
      <c r="C414" s="219"/>
      <c r="D414" s="219"/>
      <c r="E414" s="219"/>
      <c r="F414" s="219"/>
      <c r="G414" s="219"/>
      <c r="H414" s="219"/>
      <c r="I414" s="219"/>
      <c r="J414" s="219"/>
      <c r="K414" s="219"/>
      <c r="L414" s="219"/>
      <c r="M414" s="219"/>
      <c r="N414" s="219"/>
      <c r="O414" s="219"/>
      <c r="P414" s="219"/>
      <c r="Q414" s="219"/>
      <c r="R414" s="219"/>
    </row>
    <row r="415" spans="2:18" ht="12.75" hidden="1" outlineLevel="1">
      <c r="B415" s="177"/>
      <c r="C415" s="198" t="s">
        <v>404</v>
      </c>
      <c r="D415" s="177"/>
      <c r="E415" s="177"/>
      <c r="F415" s="177"/>
      <c r="G415" s="177"/>
      <c r="H415" s="177"/>
      <c r="I415" s="177"/>
      <c r="J415" s="177"/>
      <c r="K415" s="177"/>
      <c r="L415" s="177"/>
      <c r="M415" s="177"/>
      <c r="N415" s="177"/>
      <c r="O415" s="177"/>
      <c r="P415" s="177"/>
      <c r="Q415" s="177"/>
      <c r="R415" s="177"/>
    </row>
    <row r="416" spans="2:18" s="80" customFormat="1" ht="8.25" hidden="1" outlineLevel="2">
      <c r="B416" s="199"/>
      <c r="C416" s="199"/>
      <c r="D416" s="199"/>
      <c r="E416" s="199"/>
      <c r="F416" s="199"/>
      <c r="G416" s="199"/>
      <c r="H416" s="199"/>
      <c r="I416" s="199"/>
      <c r="J416" s="199"/>
      <c r="K416" s="199"/>
      <c r="L416" s="199"/>
      <c r="M416" s="199"/>
      <c r="N416" s="199"/>
      <c r="O416" s="199"/>
      <c r="P416" s="199"/>
      <c r="Q416" s="199"/>
      <c r="R416" s="199"/>
    </row>
    <row r="417" spans="2:18" ht="12.75" hidden="1" outlineLevel="2">
      <c r="B417" s="177"/>
      <c r="C417" s="200" t="s">
        <v>405</v>
      </c>
      <c r="D417" s="177"/>
      <c r="E417" s="177"/>
      <c r="F417" s="177"/>
      <c r="G417" s="177"/>
      <c r="H417" s="141"/>
      <c r="I417" s="188" t="s">
        <v>407</v>
      </c>
      <c r="J417" s="177"/>
      <c r="K417" s="177"/>
      <c r="L417" s="177"/>
      <c r="M417" s="177"/>
      <c r="N417" s="177"/>
      <c r="O417" s="177"/>
      <c r="P417" s="177"/>
      <c r="Q417" s="177"/>
      <c r="R417" s="177"/>
    </row>
    <row r="418" spans="2:18" s="71" customFormat="1" ht="6.75" hidden="1" outlineLevel="2">
      <c r="B418" s="187"/>
      <c r="C418" s="187"/>
      <c r="D418" s="187"/>
      <c r="E418" s="187"/>
      <c r="F418" s="187"/>
      <c r="G418" s="187"/>
      <c r="H418" s="187"/>
      <c r="I418" s="187"/>
      <c r="J418" s="187"/>
      <c r="K418" s="187"/>
      <c r="L418" s="187"/>
      <c r="M418" s="187"/>
      <c r="N418" s="187"/>
      <c r="O418" s="187"/>
      <c r="P418" s="187"/>
      <c r="Q418" s="187"/>
      <c r="R418" s="187"/>
    </row>
    <row r="419" spans="2:18" ht="12.75" hidden="1" outlineLevel="2">
      <c r="B419" s="177"/>
      <c r="C419" s="200" t="s">
        <v>406</v>
      </c>
      <c r="D419" s="177"/>
      <c r="E419" s="177"/>
      <c r="F419" s="177"/>
      <c r="G419" s="177"/>
      <c r="H419" s="141"/>
      <c r="I419" s="188" t="s">
        <v>408</v>
      </c>
      <c r="J419" s="177"/>
      <c r="K419" s="177"/>
      <c r="L419" s="177"/>
      <c r="M419" s="177"/>
      <c r="N419" s="177"/>
      <c r="O419" s="177"/>
      <c r="P419" s="177"/>
      <c r="Q419" s="177"/>
      <c r="R419" s="177"/>
    </row>
    <row r="420" spans="2:18" s="71" customFormat="1" ht="6.75" hidden="1" outlineLevel="2">
      <c r="B420" s="187"/>
      <c r="C420" s="214"/>
      <c r="D420" s="187"/>
      <c r="E420" s="187"/>
      <c r="F420" s="187"/>
      <c r="G420" s="187"/>
      <c r="H420" s="231"/>
      <c r="I420" s="194"/>
      <c r="J420" s="187"/>
      <c r="K420" s="187"/>
      <c r="L420" s="187"/>
      <c r="M420" s="187"/>
      <c r="N420" s="187"/>
      <c r="O420" s="187"/>
      <c r="P420" s="187"/>
      <c r="Q420" s="187"/>
      <c r="R420" s="187"/>
    </row>
    <row r="421" spans="2:18" ht="12.75" hidden="1" outlineLevel="2">
      <c r="B421" s="177"/>
      <c r="C421" s="200" t="s">
        <v>547</v>
      </c>
      <c r="D421" s="177"/>
      <c r="E421" s="177"/>
      <c r="F421" s="177"/>
      <c r="G421" s="177"/>
      <c r="H421" s="141"/>
      <c r="I421" s="232" t="s">
        <v>548</v>
      </c>
      <c r="J421" s="177"/>
      <c r="K421" s="177"/>
      <c r="L421" s="177"/>
      <c r="M421" s="177"/>
      <c r="N421" s="177"/>
      <c r="O421" s="177"/>
      <c r="P421" s="177"/>
      <c r="Q421" s="177"/>
      <c r="R421" s="177"/>
    </row>
    <row r="422" spans="2:18" s="75" customFormat="1" ht="8.25" hidden="1" outlineLevel="2">
      <c r="B422" s="192"/>
      <c r="C422" s="192"/>
      <c r="D422" s="192"/>
      <c r="E422" s="192"/>
      <c r="F422" s="192"/>
      <c r="G422" s="192"/>
      <c r="H422" s="192"/>
      <c r="I422" s="192"/>
      <c r="J422" s="192"/>
      <c r="K422" s="192"/>
      <c r="L422" s="192"/>
      <c r="M422" s="192"/>
      <c r="N422" s="192"/>
      <c r="O422" s="192"/>
      <c r="P422" s="192"/>
      <c r="Q422" s="192"/>
      <c r="R422" s="192"/>
    </row>
    <row r="423" spans="2:18" s="81" customFormat="1" ht="11.25" hidden="1" outlineLevel="1">
      <c r="B423" s="219"/>
      <c r="C423" s="219"/>
      <c r="D423" s="219"/>
      <c r="E423" s="219"/>
      <c r="F423" s="219"/>
      <c r="G423" s="219"/>
      <c r="H423" s="219"/>
      <c r="I423" s="219"/>
      <c r="J423" s="219"/>
      <c r="K423" s="219"/>
      <c r="L423" s="219"/>
      <c r="M423" s="219"/>
      <c r="N423" s="219"/>
      <c r="O423" s="219"/>
      <c r="P423" s="219"/>
      <c r="Q423" s="219"/>
      <c r="R423" s="219"/>
    </row>
    <row r="424" spans="2:18" ht="12.75" hidden="1" outlineLevel="1">
      <c r="B424" s="177"/>
      <c r="C424" s="198" t="s">
        <v>409</v>
      </c>
      <c r="D424" s="177"/>
      <c r="E424" s="177"/>
      <c r="F424" s="177"/>
      <c r="G424" s="177"/>
      <c r="H424" s="177"/>
      <c r="I424" s="177"/>
      <c r="J424" s="177"/>
      <c r="K424" s="177"/>
      <c r="L424" s="177"/>
      <c r="M424" s="177"/>
      <c r="N424" s="177"/>
      <c r="O424" s="177"/>
      <c r="P424" s="177"/>
      <c r="Q424" s="177"/>
      <c r="R424" s="177"/>
    </row>
    <row r="425" spans="2:18" s="80" customFormat="1" ht="8.25" hidden="1" outlineLevel="2">
      <c r="B425" s="199"/>
      <c r="C425" s="199"/>
      <c r="D425" s="199"/>
      <c r="E425" s="199"/>
      <c r="F425" s="199"/>
      <c r="G425" s="199"/>
      <c r="H425" s="199"/>
      <c r="I425" s="199"/>
      <c r="J425" s="199"/>
      <c r="K425" s="199"/>
      <c r="L425" s="199"/>
      <c r="M425" s="199"/>
      <c r="N425" s="199"/>
      <c r="O425" s="199"/>
      <c r="P425" s="199"/>
      <c r="Q425" s="199"/>
      <c r="R425" s="199"/>
    </row>
    <row r="426" spans="2:57" s="77" customFormat="1" ht="12.75" hidden="1" outlineLevel="2">
      <c r="B426" s="202"/>
      <c r="C426" s="200" t="s">
        <v>266</v>
      </c>
      <c r="D426" s="202"/>
      <c r="E426" s="202"/>
      <c r="F426" s="202"/>
      <c r="G426" s="202"/>
      <c r="H426" s="202"/>
      <c r="I426" s="202"/>
      <c r="J426" s="202"/>
      <c r="K426" s="202"/>
      <c r="L426" s="202"/>
      <c r="M426" s="202"/>
      <c r="N426" s="202"/>
      <c r="O426" s="202"/>
      <c r="P426" s="202"/>
      <c r="Q426" s="202"/>
      <c r="R426" s="202"/>
      <c r="BE426" s="54"/>
    </row>
    <row r="427" spans="2:18" s="71" customFormat="1" ht="6.75" hidden="1" outlineLevel="2">
      <c r="B427" s="187"/>
      <c r="C427" s="187"/>
      <c r="D427" s="187"/>
      <c r="E427" s="187"/>
      <c r="F427" s="187"/>
      <c r="G427" s="187"/>
      <c r="H427" s="187"/>
      <c r="I427" s="187"/>
      <c r="J427" s="187"/>
      <c r="K427" s="187"/>
      <c r="L427" s="187"/>
      <c r="M427" s="187"/>
      <c r="N427" s="187"/>
      <c r="O427" s="187"/>
      <c r="P427" s="187"/>
      <c r="Q427" s="187"/>
      <c r="R427" s="187"/>
    </row>
    <row r="428" spans="2:57" s="77" customFormat="1" ht="12.75" hidden="1" outlineLevel="2">
      <c r="B428" s="202"/>
      <c r="C428" s="326" t="s">
        <v>265</v>
      </c>
      <c r="D428" s="341"/>
      <c r="E428" s="327"/>
      <c r="F428" s="202"/>
      <c r="G428" s="225"/>
      <c r="H428" s="202"/>
      <c r="I428" s="202"/>
      <c r="J428" s="202"/>
      <c r="K428" s="202"/>
      <c r="L428" s="202"/>
      <c r="M428" s="202"/>
      <c r="N428" s="202"/>
      <c r="O428" s="202"/>
      <c r="P428" s="202"/>
      <c r="Q428" s="202"/>
      <c r="R428" s="202"/>
      <c r="BE428" s="54"/>
    </row>
    <row r="429" spans="2:18" s="81" customFormat="1" ht="11.25" hidden="1" outlineLevel="2">
      <c r="B429" s="219"/>
      <c r="C429" s="233"/>
      <c r="D429" s="233"/>
      <c r="E429" s="233"/>
      <c r="F429" s="219"/>
      <c r="G429" s="234"/>
      <c r="H429" s="219"/>
      <c r="I429" s="219"/>
      <c r="J429" s="219"/>
      <c r="K429" s="219"/>
      <c r="L429" s="219"/>
      <c r="M429" s="219"/>
      <c r="N429" s="219"/>
      <c r="O429" s="219"/>
      <c r="P429" s="219"/>
      <c r="Q429" s="219"/>
      <c r="R429" s="219"/>
    </row>
    <row r="430" spans="2:18" ht="12.75" hidden="1" outlineLevel="2">
      <c r="B430" s="177"/>
      <c r="C430" s="222" t="s">
        <v>410</v>
      </c>
      <c r="D430" s="177"/>
      <c r="E430" s="177"/>
      <c r="F430" s="177"/>
      <c r="G430" s="210" t="s">
        <v>316</v>
      </c>
      <c r="H430" s="177"/>
      <c r="I430" s="210" t="s">
        <v>260</v>
      </c>
      <c r="J430" s="177"/>
      <c r="K430" s="177"/>
      <c r="L430" s="210" t="s">
        <v>317</v>
      </c>
      <c r="M430" s="177"/>
      <c r="N430" s="177"/>
      <c r="O430" s="210" t="str">
        <f>IF(C428="Zelf details invoeren","Boorwerk d.m.v."," ")</f>
        <v> </v>
      </c>
      <c r="P430" s="177"/>
      <c r="Q430" s="177"/>
      <c r="R430" s="177"/>
    </row>
    <row r="431" spans="2:18" s="71" customFormat="1" ht="6.75" hidden="1" outlineLevel="2">
      <c r="B431" s="187"/>
      <c r="C431" s="187"/>
      <c r="D431" s="187"/>
      <c r="E431" s="187"/>
      <c r="F431" s="187"/>
      <c r="G431" s="187"/>
      <c r="H431" s="187"/>
      <c r="I431" s="187"/>
      <c r="J431" s="187"/>
      <c r="K431" s="187"/>
      <c r="L431" s="187"/>
      <c r="M431" s="187"/>
      <c r="N431" s="187"/>
      <c r="O431" s="187"/>
      <c r="P431" s="187"/>
      <c r="Q431" s="187"/>
      <c r="R431" s="187"/>
    </row>
    <row r="432" spans="2:57" ht="12.75" hidden="1" outlineLevel="2">
      <c r="B432" s="177"/>
      <c r="C432" s="223" t="s">
        <v>315</v>
      </c>
      <c r="D432" s="177"/>
      <c r="E432" s="141"/>
      <c r="F432" s="188" t="s">
        <v>270</v>
      </c>
      <c r="G432" s="141"/>
      <c r="H432" s="188" t="s">
        <v>259</v>
      </c>
      <c r="I432" s="326" t="s">
        <v>265</v>
      </c>
      <c r="J432" s="327"/>
      <c r="K432" s="177"/>
      <c r="L432" s="326" t="s">
        <v>265</v>
      </c>
      <c r="M432" s="327"/>
      <c r="N432" s="177"/>
      <c r="O432" s="332" t="s">
        <v>265</v>
      </c>
      <c r="P432" s="332"/>
      <c r="Q432" s="177"/>
      <c r="R432" s="177"/>
      <c r="BE432" s="81"/>
    </row>
    <row r="433" spans="2:18" s="71" customFormat="1" ht="6.75" hidden="1" outlineLevel="2">
      <c r="B433" s="187"/>
      <c r="C433" s="187"/>
      <c r="D433" s="187"/>
      <c r="E433" s="187"/>
      <c r="F433" s="187"/>
      <c r="G433" s="187"/>
      <c r="H433" s="187"/>
      <c r="I433" s="187"/>
      <c r="J433" s="187"/>
      <c r="K433" s="187"/>
      <c r="L433" s="187"/>
      <c r="M433" s="187"/>
      <c r="N433" s="187"/>
      <c r="O433" s="187"/>
      <c r="P433" s="187"/>
      <c r="Q433" s="187"/>
      <c r="R433" s="187"/>
    </row>
    <row r="434" spans="2:57" ht="12.75" hidden="1" outlineLevel="2">
      <c r="B434" s="177"/>
      <c r="C434" s="223" t="s">
        <v>322</v>
      </c>
      <c r="D434" s="177"/>
      <c r="E434" s="141"/>
      <c r="F434" s="188" t="s">
        <v>270</v>
      </c>
      <c r="G434" s="141"/>
      <c r="H434" s="188" t="s">
        <v>259</v>
      </c>
      <c r="I434" s="324" t="s">
        <v>265</v>
      </c>
      <c r="J434" s="325"/>
      <c r="K434" s="177"/>
      <c r="L434" s="324" t="s">
        <v>265</v>
      </c>
      <c r="M434" s="325"/>
      <c r="N434" s="177"/>
      <c r="O434" s="332" t="s">
        <v>265</v>
      </c>
      <c r="P434" s="332"/>
      <c r="Q434" s="177"/>
      <c r="R434" s="177"/>
      <c r="BE434" s="80"/>
    </row>
    <row r="435" spans="2:18" s="71" customFormat="1" ht="6.75" hidden="1" outlineLevel="2">
      <c r="B435" s="187"/>
      <c r="C435" s="187"/>
      <c r="D435" s="187"/>
      <c r="E435" s="187"/>
      <c r="F435" s="187"/>
      <c r="G435" s="187"/>
      <c r="H435" s="187"/>
      <c r="I435" s="187"/>
      <c r="J435" s="187"/>
      <c r="K435" s="187"/>
      <c r="L435" s="187"/>
      <c r="M435" s="187"/>
      <c r="N435" s="187"/>
      <c r="O435" s="187"/>
      <c r="P435" s="187"/>
      <c r="Q435" s="187"/>
      <c r="R435" s="187"/>
    </row>
    <row r="436" spans="2:57" ht="12.75" hidden="1" outlineLevel="2">
      <c r="B436" s="177"/>
      <c r="C436" s="223" t="s">
        <v>323</v>
      </c>
      <c r="D436" s="177"/>
      <c r="E436" s="141"/>
      <c r="F436" s="188" t="s">
        <v>270</v>
      </c>
      <c r="G436" s="141"/>
      <c r="H436" s="188" t="s">
        <v>259</v>
      </c>
      <c r="I436" s="324" t="s">
        <v>265</v>
      </c>
      <c r="J436" s="325"/>
      <c r="K436" s="177"/>
      <c r="L436" s="324" t="s">
        <v>265</v>
      </c>
      <c r="M436" s="325"/>
      <c r="N436" s="177"/>
      <c r="O436" s="332" t="s">
        <v>265</v>
      </c>
      <c r="P436" s="332"/>
      <c r="Q436" s="177"/>
      <c r="R436" s="177"/>
      <c r="BE436" s="71"/>
    </row>
    <row r="437" spans="2:18" s="71" customFormat="1" ht="6.75" hidden="1" outlineLevel="2">
      <c r="B437" s="187"/>
      <c r="C437" s="187"/>
      <c r="D437" s="187"/>
      <c r="E437" s="187"/>
      <c r="F437" s="187"/>
      <c r="G437" s="187"/>
      <c r="H437" s="187"/>
      <c r="I437" s="187"/>
      <c r="J437" s="187"/>
      <c r="K437" s="187"/>
      <c r="L437" s="187"/>
      <c r="M437" s="187"/>
      <c r="N437" s="187"/>
      <c r="O437" s="187"/>
      <c r="P437" s="187"/>
      <c r="Q437" s="187"/>
      <c r="R437" s="187"/>
    </row>
    <row r="438" spans="2:57" ht="12.75" hidden="1" outlineLevel="2">
      <c r="B438" s="177"/>
      <c r="C438" s="223" t="s">
        <v>324</v>
      </c>
      <c r="D438" s="177"/>
      <c r="E438" s="141"/>
      <c r="F438" s="188" t="s">
        <v>270</v>
      </c>
      <c r="G438" s="141"/>
      <c r="H438" s="188" t="s">
        <v>259</v>
      </c>
      <c r="I438" s="324" t="s">
        <v>265</v>
      </c>
      <c r="J438" s="325"/>
      <c r="K438" s="177"/>
      <c r="L438" s="324" t="s">
        <v>265</v>
      </c>
      <c r="M438" s="325"/>
      <c r="N438" s="177"/>
      <c r="O438" s="332" t="s">
        <v>265</v>
      </c>
      <c r="P438" s="332"/>
      <c r="Q438" s="177"/>
      <c r="R438" s="177"/>
      <c r="BE438" s="81"/>
    </row>
    <row r="439" spans="2:18" s="81" customFormat="1" ht="11.25" hidden="1" outlineLevel="2">
      <c r="B439" s="219"/>
      <c r="C439" s="219"/>
      <c r="D439" s="219"/>
      <c r="E439" s="219"/>
      <c r="F439" s="219"/>
      <c r="G439" s="219"/>
      <c r="H439" s="219"/>
      <c r="I439" s="219"/>
      <c r="J439" s="219"/>
      <c r="K439" s="219"/>
      <c r="L439" s="219"/>
      <c r="M439" s="219"/>
      <c r="N439" s="219"/>
      <c r="O439" s="219"/>
      <c r="P439" s="219"/>
      <c r="Q439" s="219"/>
      <c r="R439" s="219"/>
    </row>
    <row r="440" spans="2:57" ht="12.75" hidden="1" outlineLevel="2">
      <c r="B440" s="177"/>
      <c r="C440" s="222" t="s">
        <v>387</v>
      </c>
      <c r="D440" s="177"/>
      <c r="E440" s="177"/>
      <c r="F440" s="177"/>
      <c r="G440" s="210" t="s">
        <v>389</v>
      </c>
      <c r="H440" s="177"/>
      <c r="I440" s="210" t="s">
        <v>390</v>
      </c>
      <c r="J440" s="177"/>
      <c r="K440" s="177"/>
      <c r="L440" s="210" t="s">
        <v>391</v>
      </c>
      <c r="M440" s="177"/>
      <c r="N440" s="177"/>
      <c r="O440" s="177"/>
      <c r="P440" s="177"/>
      <c r="Q440" s="177"/>
      <c r="R440" s="177"/>
      <c r="BE440" s="71"/>
    </row>
    <row r="441" spans="2:18" s="71" customFormat="1" ht="6.75" hidden="1" outlineLevel="2">
      <c r="B441" s="187"/>
      <c r="C441" s="187"/>
      <c r="D441" s="187"/>
      <c r="E441" s="187"/>
      <c r="F441" s="187"/>
      <c r="G441" s="187"/>
      <c r="H441" s="187"/>
      <c r="I441" s="187"/>
      <c r="J441" s="187"/>
      <c r="K441" s="187"/>
      <c r="L441" s="187"/>
      <c r="M441" s="187"/>
      <c r="N441" s="187"/>
      <c r="O441" s="187"/>
      <c r="P441" s="187"/>
      <c r="Q441" s="187"/>
      <c r="R441" s="187"/>
    </row>
    <row r="442" spans="2:57" ht="12.75" hidden="1" outlineLevel="2">
      <c r="B442" s="177"/>
      <c r="C442" s="223" t="s">
        <v>388</v>
      </c>
      <c r="D442" s="177"/>
      <c r="E442" s="141"/>
      <c r="F442" s="188" t="s">
        <v>270</v>
      </c>
      <c r="G442" s="141"/>
      <c r="H442" s="188" t="s">
        <v>259</v>
      </c>
      <c r="I442" s="326" t="s">
        <v>265</v>
      </c>
      <c r="J442" s="327"/>
      <c r="K442" s="177"/>
      <c r="L442" s="326" t="s">
        <v>265</v>
      </c>
      <c r="M442" s="327"/>
      <c r="N442" s="177"/>
      <c r="O442" s="177"/>
      <c r="P442" s="177"/>
      <c r="Q442" s="177"/>
      <c r="R442" s="177"/>
      <c r="BE442" s="71"/>
    </row>
    <row r="443" spans="2:18" s="71" customFormat="1" ht="6.75" hidden="1" outlineLevel="2">
      <c r="B443" s="187"/>
      <c r="C443" s="187"/>
      <c r="D443" s="187"/>
      <c r="E443" s="187"/>
      <c r="F443" s="187"/>
      <c r="G443" s="187"/>
      <c r="H443" s="187"/>
      <c r="I443" s="187"/>
      <c r="J443" s="187"/>
      <c r="K443" s="187"/>
      <c r="L443" s="187"/>
      <c r="M443" s="187"/>
      <c r="N443" s="187"/>
      <c r="O443" s="187"/>
      <c r="P443" s="187"/>
      <c r="Q443" s="187"/>
      <c r="R443" s="187"/>
    </row>
    <row r="444" spans="2:57" ht="12.75" hidden="1" outlineLevel="2">
      <c r="B444" s="177"/>
      <c r="C444" s="223" t="s">
        <v>392</v>
      </c>
      <c r="D444" s="177"/>
      <c r="E444" s="141"/>
      <c r="F444" s="188" t="s">
        <v>270</v>
      </c>
      <c r="G444" s="141"/>
      <c r="H444" s="188" t="s">
        <v>259</v>
      </c>
      <c r="I444" s="324" t="s">
        <v>265</v>
      </c>
      <c r="J444" s="325"/>
      <c r="K444" s="177"/>
      <c r="L444" s="324" t="s">
        <v>265</v>
      </c>
      <c r="M444" s="325"/>
      <c r="N444" s="177"/>
      <c r="O444" s="177"/>
      <c r="P444" s="177"/>
      <c r="Q444" s="177"/>
      <c r="R444" s="177"/>
      <c r="BE444" s="71"/>
    </row>
    <row r="445" spans="2:18" s="71" customFormat="1" ht="6.75" hidden="1" outlineLevel="2">
      <c r="B445" s="187"/>
      <c r="C445" s="187"/>
      <c r="D445" s="187"/>
      <c r="E445" s="187"/>
      <c r="F445" s="187"/>
      <c r="G445" s="187"/>
      <c r="H445" s="187"/>
      <c r="I445" s="187"/>
      <c r="J445" s="187"/>
      <c r="K445" s="187"/>
      <c r="L445" s="187"/>
      <c r="M445" s="187"/>
      <c r="N445" s="187"/>
      <c r="O445" s="187"/>
      <c r="P445" s="187"/>
      <c r="Q445" s="187"/>
      <c r="R445" s="187"/>
    </row>
    <row r="446" spans="2:57" ht="12.75" hidden="1" outlineLevel="2">
      <c r="B446" s="177"/>
      <c r="C446" s="223" t="s">
        <v>393</v>
      </c>
      <c r="D446" s="177"/>
      <c r="E446" s="141"/>
      <c r="F446" s="188" t="s">
        <v>270</v>
      </c>
      <c r="G446" s="141"/>
      <c r="H446" s="188" t="s">
        <v>259</v>
      </c>
      <c r="I446" s="324" t="s">
        <v>265</v>
      </c>
      <c r="J446" s="325"/>
      <c r="K446" s="177"/>
      <c r="L446" s="324" t="s">
        <v>265</v>
      </c>
      <c r="M446" s="325"/>
      <c r="N446" s="177"/>
      <c r="O446" s="177"/>
      <c r="P446" s="177"/>
      <c r="Q446" s="177"/>
      <c r="R446" s="177"/>
      <c r="BE446" s="71"/>
    </row>
    <row r="447" spans="2:18" s="71" customFormat="1" ht="6.75" hidden="1" outlineLevel="2">
      <c r="B447" s="187"/>
      <c r="C447" s="187"/>
      <c r="D447" s="187"/>
      <c r="E447" s="187"/>
      <c r="F447" s="187"/>
      <c r="G447" s="187"/>
      <c r="H447" s="187"/>
      <c r="I447" s="187"/>
      <c r="J447" s="187"/>
      <c r="K447" s="187"/>
      <c r="L447" s="187"/>
      <c r="M447" s="187"/>
      <c r="N447" s="187"/>
      <c r="O447" s="187"/>
      <c r="P447" s="187"/>
      <c r="Q447" s="187"/>
      <c r="R447" s="187"/>
    </row>
    <row r="448" spans="2:57" ht="12.75" hidden="1" outlineLevel="2">
      <c r="B448" s="177"/>
      <c r="C448" s="223" t="s">
        <v>394</v>
      </c>
      <c r="D448" s="177"/>
      <c r="E448" s="141"/>
      <c r="F448" s="188" t="s">
        <v>270</v>
      </c>
      <c r="G448" s="141"/>
      <c r="H448" s="188" t="s">
        <v>259</v>
      </c>
      <c r="I448" s="324" t="s">
        <v>265</v>
      </c>
      <c r="J448" s="325"/>
      <c r="K448" s="177"/>
      <c r="L448" s="324" t="s">
        <v>265</v>
      </c>
      <c r="M448" s="325"/>
      <c r="N448" s="177"/>
      <c r="O448" s="177"/>
      <c r="P448" s="177"/>
      <c r="Q448" s="177"/>
      <c r="R448" s="177"/>
      <c r="BE448" s="81"/>
    </row>
    <row r="449" spans="2:18" s="75" customFormat="1" ht="8.25" hidden="1" outlineLevel="2">
      <c r="B449" s="192"/>
      <c r="C449" s="192"/>
      <c r="D449" s="192"/>
      <c r="E449" s="192"/>
      <c r="F449" s="192"/>
      <c r="G449" s="192"/>
      <c r="H449" s="192"/>
      <c r="I449" s="192"/>
      <c r="J449" s="192"/>
      <c r="K449" s="192"/>
      <c r="L449" s="192"/>
      <c r="M449" s="192"/>
      <c r="N449" s="192"/>
      <c r="O449" s="192"/>
      <c r="P449" s="192"/>
      <c r="Q449" s="192"/>
      <c r="R449" s="192"/>
    </row>
    <row r="450" spans="2:57" s="81" customFormat="1" ht="11.25" hidden="1" outlineLevel="1">
      <c r="B450" s="219"/>
      <c r="C450" s="219"/>
      <c r="D450" s="219"/>
      <c r="E450" s="219"/>
      <c r="F450" s="219"/>
      <c r="G450" s="219"/>
      <c r="H450" s="219"/>
      <c r="I450" s="219"/>
      <c r="J450" s="219"/>
      <c r="K450" s="219"/>
      <c r="L450" s="219"/>
      <c r="M450" s="219"/>
      <c r="N450" s="219"/>
      <c r="O450" s="219"/>
      <c r="P450" s="219"/>
      <c r="Q450" s="219"/>
      <c r="R450" s="219"/>
      <c r="BE450" s="71"/>
    </row>
    <row r="451" spans="2:57" s="77" customFormat="1" ht="12.75" hidden="1" outlineLevel="1">
      <c r="B451" s="177"/>
      <c r="C451" s="198" t="s">
        <v>509</v>
      </c>
      <c r="D451" s="202"/>
      <c r="E451" s="202"/>
      <c r="F451" s="202"/>
      <c r="G451" s="202"/>
      <c r="H451" s="202"/>
      <c r="I451" s="202"/>
      <c r="J451" s="202"/>
      <c r="K451" s="202"/>
      <c r="L451" s="202"/>
      <c r="M451" s="202"/>
      <c r="N451" s="202"/>
      <c r="O451" s="202"/>
      <c r="P451" s="202"/>
      <c r="Q451" s="202"/>
      <c r="R451" s="202"/>
      <c r="BE451" s="54"/>
    </row>
    <row r="452" spans="2:57" s="80" customFormat="1" ht="8.25" hidden="1" outlineLevel="2">
      <c r="B452" s="199"/>
      <c r="C452" s="199"/>
      <c r="D452" s="199"/>
      <c r="E452" s="199"/>
      <c r="F452" s="199"/>
      <c r="G452" s="199"/>
      <c r="H452" s="199"/>
      <c r="I452" s="199"/>
      <c r="J452" s="199"/>
      <c r="K452" s="199"/>
      <c r="L452" s="199"/>
      <c r="M452" s="199"/>
      <c r="N452" s="199"/>
      <c r="O452" s="199"/>
      <c r="P452" s="199"/>
      <c r="Q452" s="199"/>
      <c r="R452" s="199"/>
      <c r="BE452" s="71"/>
    </row>
    <row r="453" spans="2:18" ht="12.75" hidden="1" outlineLevel="2">
      <c r="B453" s="177"/>
      <c r="C453" s="222" t="s">
        <v>411</v>
      </c>
      <c r="D453" s="177"/>
      <c r="E453" s="177"/>
      <c r="F453" s="177"/>
      <c r="G453" s="177"/>
      <c r="H453" s="210" t="s">
        <v>585</v>
      </c>
      <c r="I453" s="177"/>
      <c r="J453" s="210" t="s">
        <v>255</v>
      </c>
      <c r="K453" s="177"/>
      <c r="L453" s="177"/>
      <c r="M453" s="177"/>
      <c r="N453" s="177"/>
      <c r="O453" s="177"/>
      <c r="P453" s="177"/>
      <c r="Q453" s="177"/>
      <c r="R453" s="177"/>
    </row>
    <row r="454" spans="2:18" s="71" customFormat="1" ht="6.75" hidden="1" outlineLevel="2">
      <c r="B454" s="187"/>
      <c r="C454" s="187"/>
      <c r="D454" s="187"/>
      <c r="E454" s="187"/>
      <c r="F454" s="187"/>
      <c r="G454" s="187"/>
      <c r="H454" s="187"/>
      <c r="I454" s="187"/>
      <c r="J454" s="187"/>
      <c r="K454" s="187"/>
      <c r="L454" s="187"/>
      <c r="M454" s="187"/>
      <c r="N454" s="187"/>
      <c r="O454" s="187"/>
      <c r="P454" s="187"/>
      <c r="Q454" s="187"/>
      <c r="R454" s="187"/>
    </row>
    <row r="455" spans="2:18" ht="12.75" hidden="1" outlineLevel="2">
      <c r="B455" s="177"/>
      <c r="C455" s="223" t="s">
        <v>412</v>
      </c>
      <c r="D455" s="177"/>
      <c r="E455" s="177"/>
      <c r="F455" s="309"/>
      <c r="G455" s="188" t="s">
        <v>259</v>
      </c>
      <c r="H455" s="309"/>
      <c r="I455" s="188" t="s">
        <v>253</v>
      </c>
      <c r="J455" s="328" t="s">
        <v>265</v>
      </c>
      <c r="K455" s="329"/>
      <c r="L455" s="177"/>
      <c r="M455" s="177"/>
      <c r="N455" s="177"/>
      <c r="O455" s="177"/>
      <c r="P455" s="177"/>
      <c r="Q455" s="177"/>
      <c r="R455" s="177"/>
    </row>
    <row r="456" spans="2:18" s="71" customFormat="1" ht="6.75" hidden="1" outlineLevel="2">
      <c r="B456" s="187"/>
      <c r="C456" s="187"/>
      <c r="D456" s="187"/>
      <c r="E456" s="187"/>
      <c r="F456" s="187"/>
      <c r="G456" s="187"/>
      <c r="H456" s="187"/>
      <c r="I456" s="187"/>
      <c r="J456" s="187"/>
      <c r="K456" s="187"/>
      <c r="L456" s="187"/>
      <c r="M456" s="187"/>
      <c r="N456" s="187"/>
      <c r="O456" s="187"/>
      <c r="P456" s="187"/>
      <c r="Q456" s="187"/>
      <c r="R456" s="187"/>
    </row>
    <row r="457" spans="2:18" ht="12.75" hidden="1" outlineLevel="2">
      <c r="B457" s="177"/>
      <c r="C457" s="223" t="s">
        <v>414</v>
      </c>
      <c r="D457" s="177"/>
      <c r="E457" s="177"/>
      <c r="F457" s="309"/>
      <c r="G457" s="188" t="s">
        <v>259</v>
      </c>
      <c r="H457" s="309"/>
      <c r="I457" s="188" t="s">
        <v>253</v>
      </c>
      <c r="J457" s="177"/>
      <c r="K457" s="177"/>
      <c r="L457" s="177"/>
      <c r="M457" s="177"/>
      <c r="N457" s="177"/>
      <c r="O457" s="177"/>
      <c r="P457" s="177"/>
      <c r="Q457" s="177"/>
      <c r="R457" s="177"/>
    </row>
    <row r="458" spans="2:57" s="71" customFormat="1" ht="8.25" hidden="1" outlineLevel="2">
      <c r="B458" s="187"/>
      <c r="C458" s="187"/>
      <c r="D458" s="187"/>
      <c r="E458" s="187"/>
      <c r="F458" s="187"/>
      <c r="G458" s="187"/>
      <c r="H458" s="187"/>
      <c r="I458" s="187"/>
      <c r="J458" s="187"/>
      <c r="K458" s="187"/>
      <c r="L458" s="187"/>
      <c r="M458" s="187"/>
      <c r="N458" s="187"/>
      <c r="O458" s="187"/>
      <c r="P458" s="187"/>
      <c r="Q458" s="187"/>
      <c r="R458" s="187"/>
      <c r="BE458" s="75"/>
    </row>
    <row r="459" spans="2:57" ht="12.75" hidden="1" outlineLevel="2">
      <c r="B459" s="177"/>
      <c r="C459" s="223" t="s">
        <v>413</v>
      </c>
      <c r="D459" s="177"/>
      <c r="E459" s="177"/>
      <c r="F459" s="309"/>
      <c r="G459" s="188" t="s">
        <v>259</v>
      </c>
      <c r="H459" s="309"/>
      <c r="I459" s="188" t="s">
        <v>253</v>
      </c>
      <c r="J459" s="177"/>
      <c r="K459" s="177"/>
      <c r="L459" s="177"/>
      <c r="M459" s="177"/>
      <c r="N459" s="177"/>
      <c r="O459" s="177"/>
      <c r="P459" s="177"/>
      <c r="Q459" s="177"/>
      <c r="R459" s="177"/>
      <c r="BE459" s="81"/>
    </row>
    <row r="460" spans="2:18" s="81" customFormat="1" ht="11.25" hidden="1" outlineLevel="2">
      <c r="B460" s="219"/>
      <c r="C460" s="219"/>
      <c r="D460" s="219"/>
      <c r="E460" s="219"/>
      <c r="F460" s="219"/>
      <c r="G460" s="219"/>
      <c r="H460" s="219"/>
      <c r="I460" s="219"/>
      <c r="J460" s="219"/>
      <c r="K460" s="219"/>
      <c r="L460" s="219"/>
      <c r="M460" s="219"/>
      <c r="N460" s="219"/>
      <c r="O460" s="219"/>
      <c r="P460" s="219"/>
      <c r="Q460" s="219"/>
      <c r="R460" s="219"/>
    </row>
    <row r="461" spans="2:57" ht="12.75" hidden="1" outlineLevel="2">
      <c r="B461" s="177"/>
      <c r="C461" s="222" t="s">
        <v>415</v>
      </c>
      <c r="D461" s="177"/>
      <c r="E461" s="177"/>
      <c r="F461" s="210" t="s">
        <v>585</v>
      </c>
      <c r="G461" s="177"/>
      <c r="H461" s="177"/>
      <c r="I461" s="177"/>
      <c r="J461" s="210" t="s">
        <v>255</v>
      </c>
      <c r="K461" s="177"/>
      <c r="L461" s="177"/>
      <c r="M461" s="177"/>
      <c r="N461" s="177"/>
      <c r="O461" s="177"/>
      <c r="P461" s="177"/>
      <c r="Q461" s="177"/>
      <c r="R461" s="177"/>
      <c r="BE461" s="80"/>
    </row>
    <row r="462" spans="2:18" s="71" customFormat="1" ht="6.75" hidden="1" outlineLevel="2">
      <c r="B462" s="187"/>
      <c r="C462" s="187"/>
      <c r="D462" s="187"/>
      <c r="E462" s="187"/>
      <c r="F462" s="187"/>
      <c r="G462" s="187"/>
      <c r="H462" s="187"/>
      <c r="I462" s="187"/>
      <c r="J462" s="187"/>
      <c r="K462" s="187"/>
      <c r="L462" s="187"/>
      <c r="M462" s="187"/>
      <c r="N462" s="187"/>
      <c r="O462" s="187"/>
      <c r="P462" s="187"/>
      <c r="Q462" s="187"/>
      <c r="R462" s="187"/>
    </row>
    <row r="463" spans="2:57" ht="12.75" hidden="1" outlineLevel="2">
      <c r="B463" s="235"/>
      <c r="C463" s="236" t="s">
        <v>379</v>
      </c>
      <c r="D463" s="235"/>
      <c r="E463" s="235"/>
      <c r="F463" s="167">
        <f>(200*($H$455*24)*$F$455)+(400*($H$457*24)*$F$457)+(600*($H$459*24)*$F$459)</f>
        <v>0</v>
      </c>
      <c r="G463" s="223" t="s">
        <v>692</v>
      </c>
      <c r="H463" s="141"/>
      <c r="I463" s="188" t="s">
        <v>691</v>
      </c>
      <c r="J463" s="324" t="s">
        <v>265</v>
      </c>
      <c r="K463" s="325"/>
      <c r="L463" s="177"/>
      <c r="M463" s="177"/>
      <c r="N463" s="177"/>
      <c r="O463" s="177"/>
      <c r="P463" s="177"/>
      <c r="Q463" s="177"/>
      <c r="R463" s="177"/>
      <c r="BE463" s="71"/>
    </row>
    <row r="464" spans="2:18" s="71" customFormat="1" ht="6.75" hidden="1" outlineLevel="2">
      <c r="B464" s="237"/>
      <c r="C464" s="187"/>
      <c r="D464" s="187"/>
      <c r="E464" s="187"/>
      <c r="F464" s="187"/>
      <c r="G464" s="187"/>
      <c r="H464" s="187"/>
      <c r="I464" s="187"/>
      <c r="J464" s="187"/>
      <c r="K464" s="187"/>
      <c r="L464" s="187"/>
      <c r="M464" s="187"/>
      <c r="N464" s="187"/>
      <c r="O464" s="187"/>
      <c r="P464" s="187"/>
      <c r="Q464" s="187"/>
      <c r="R464" s="187"/>
    </row>
    <row r="465" spans="2:57" ht="12.75" hidden="1" outlineLevel="2">
      <c r="B465" s="235"/>
      <c r="C465" s="223" t="s">
        <v>416</v>
      </c>
      <c r="D465" s="177"/>
      <c r="E465" s="177"/>
      <c r="F465" s="167">
        <f>(200*($H$455*24)*$F$455)+(400*($H$457*24)*$F$457)+(600*($H$459*24)*$F$459)</f>
        <v>0</v>
      </c>
      <c r="G465" s="223" t="s">
        <v>692</v>
      </c>
      <c r="H465" s="177"/>
      <c r="I465" s="177"/>
      <c r="J465" s="324" t="s">
        <v>265</v>
      </c>
      <c r="K465" s="325"/>
      <c r="L465" s="177"/>
      <c r="M465" s="177"/>
      <c r="N465" s="177"/>
      <c r="O465" s="177"/>
      <c r="P465" s="177"/>
      <c r="Q465" s="177"/>
      <c r="R465" s="177"/>
      <c r="BE465" s="71"/>
    </row>
    <row r="466" spans="2:18" s="71" customFormat="1" ht="6.75" hidden="1" outlineLevel="2">
      <c r="B466" s="237"/>
      <c r="C466" s="187"/>
      <c r="D466" s="187"/>
      <c r="E466" s="187"/>
      <c r="F466" s="187"/>
      <c r="G466" s="187"/>
      <c r="H466" s="187"/>
      <c r="I466" s="187"/>
      <c r="J466" s="187"/>
      <c r="K466" s="187"/>
      <c r="L466" s="187"/>
      <c r="M466" s="187"/>
      <c r="N466" s="187"/>
      <c r="O466" s="187"/>
      <c r="P466" s="187"/>
      <c r="Q466" s="187"/>
      <c r="R466" s="187"/>
    </row>
    <row r="467" spans="2:57" ht="12.75" hidden="1" outlineLevel="2">
      <c r="B467" s="235"/>
      <c r="C467" s="223" t="s">
        <v>198</v>
      </c>
      <c r="D467" s="177"/>
      <c r="E467" s="177"/>
      <c r="F467" s="167">
        <f>(200*($H$455*24)*$F$455)+(400*($H$457*24)*$F$457)+(600*($H$459*24)*$F$459)</f>
        <v>0</v>
      </c>
      <c r="G467" s="223" t="s">
        <v>692</v>
      </c>
      <c r="H467" s="177"/>
      <c r="I467" s="177"/>
      <c r="J467" s="324" t="s">
        <v>265</v>
      </c>
      <c r="K467" s="325"/>
      <c r="L467" s="177"/>
      <c r="M467" s="177"/>
      <c r="N467" s="177"/>
      <c r="O467" s="177"/>
      <c r="P467" s="177"/>
      <c r="Q467" s="177"/>
      <c r="R467" s="177"/>
      <c r="BE467" s="71"/>
    </row>
    <row r="468" spans="2:18" s="75" customFormat="1" ht="8.25" hidden="1" outlineLevel="2">
      <c r="B468" s="192"/>
      <c r="C468" s="192"/>
      <c r="D468" s="192"/>
      <c r="E468" s="192"/>
      <c r="F468" s="192"/>
      <c r="G468" s="192"/>
      <c r="H468" s="192"/>
      <c r="I468" s="192"/>
      <c r="J468" s="192"/>
      <c r="K468" s="192"/>
      <c r="L468" s="192"/>
      <c r="M468" s="192"/>
      <c r="N468" s="192"/>
      <c r="O468" s="192"/>
      <c r="P468" s="192"/>
      <c r="Q468" s="192"/>
      <c r="R468" s="192"/>
    </row>
    <row r="469" spans="2:18" s="81" customFormat="1" ht="11.25" hidden="1" outlineLevel="1">
      <c r="B469" s="219"/>
      <c r="C469" s="219"/>
      <c r="D469" s="219"/>
      <c r="E469" s="219"/>
      <c r="F469" s="219"/>
      <c r="G469" s="219"/>
      <c r="H469" s="219"/>
      <c r="I469" s="219"/>
      <c r="J469" s="219"/>
      <c r="K469" s="219"/>
      <c r="L469" s="219"/>
      <c r="M469" s="219"/>
      <c r="N469" s="219"/>
      <c r="O469" s="219"/>
      <c r="P469" s="219"/>
      <c r="Q469" s="219"/>
      <c r="R469" s="219"/>
    </row>
    <row r="470" spans="2:18" ht="12.75" hidden="1" outlineLevel="1">
      <c r="B470" s="177"/>
      <c r="C470" s="198" t="s">
        <v>334</v>
      </c>
      <c r="D470" s="177"/>
      <c r="E470" s="177"/>
      <c r="F470" s="177"/>
      <c r="G470" s="177"/>
      <c r="H470" s="177"/>
      <c r="I470" s="177"/>
      <c r="J470" s="177"/>
      <c r="K470" s="177"/>
      <c r="L470" s="177"/>
      <c r="M470" s="177"/>
      <c r="N470" s="177"/>
      <c r="O470" s="177"/>
      <c r="P470" s="177"/>
      <c r="Q470" s="177"/>
      <c r="R470" s="177"/>
    </row>
    <row r="471" spans="2:57" s="80" customFormat="1" ht="8.25" hidden="1" outlineLevel="2">
      <c r="B471" s="199"/>
      <c r="C471" s="199"/>
      <c r="D471" s="199"/>
      <c r="E471" s="199"/>
      <c r="F471" s="199"/>
      <c r="G471" s="199"/>
      <c r="H471" s="199"/>
      <c r="I471" s="199"/>
      <c r="J471" s="199"/>
      <c r="K471" s="199"/>
      <c r="L471" s="199"/>
      <c r="M471" s="199"/>
      <c r="N471" s="199"/>
      <c r="O471" s="199"/>
      <c r="P471" s="199"/>
      <c r="Q471" s="199"/>
      <c r="R471" s="199"/>
      <c r="BE471" s="71"/>
    </row>
    <row r="472" spans="2:18" ht="12.75" hidden="1" outlineLevel="2">
      <c r="B472" s="177"/>
      <c r="C472" s="200" t="s">
        <v>289</v>
      </c>
      <c r="D472" s="177"/>
      <c r="E472" s="177"/>
      <c r="F472" s="177"/>
      <c r="G472" s="177"/>
      <c r="H472" s="177"/>
      <c r="I472" s="177"/>
      <c r="J472" s="177"/>
      <c r="K472" s="177"/>
      <c r="L472" s="177"/>
      <c r="M472" s="177"/>
      <c r="N472" s="177"/>
      <c r="O472" s="177"/>
      <c r="P472" s="177"/>
      <c r="Q472" s="177"/>
      <c r="R472" s="177"/>
    </row>
    <row r="473" spans="2:18" s="71" customFormat="1" ht="6.75" hidden="1" outlineLevel="2">
      <c r="B473" s="187"/>
      <c r="C473" s="187"/>
      <c r="D473" s="187"/>
      <c r="E473" s="187"/>
      <c r="F473" s="187"/>
      <c r="G473" s="187"/>
      <c r="H473" s="187"/>
      <c r="I473" s="187"/>
      <c r="J473" s="187"/>
      <c r="K473" s="187"/>
      <c r="L473" s="187"/>
      <c r="M473" s="187"/>
      <c r="N473" s="187"/>
      <c r="O473" s="187"/>
      <c r="P473" s="187"/>
      <c r="Q473" s="187"/>
      <c r="R473" s="187"/>
    </row>
    <row r="474" spans="2:18" ht="12.75" hidden="1" outlineLevel="2">
      <c r="B474" s="177"/>
      <c r="C474" s="141"/>
      <c r="D474" s="188" t="s">
        <v>254</v>
      </c>
      <c r="E474" s="177"/>
      <c r="F474" s="177"/>
      <c r="G474" s="177"/>
      <c r="H474" s="177"/>
      <c r="I474" s="177"/>
      <c r="J474" s="177"/>
      <c r="K474" s="177"/>
      <c r="L474" s="177"/>
      <c r="M474" s="177"/>
      <c r="N474" s="177"/>
      <c r="O474" s="177"/>
      <c r="P474" s="177"/>
      <c r="Q474" s="177"/>
      <c r="R474" s="177"/>
    </row>
    <row r="475" spans="2:57" s="75" customFormat="1" ht="8.25" hidden="1" outlineLevel="2">
      <c r="B475" s="192"/>
      <c r="C475" s="192"/>
      <c r="D475" s="192"/>
      <c r="E475" s="192"/>
      <c r="F475" s="192"/>
      <c r="G475" s="192"/>
      <c r="H475" s="192"/>
      <c r="I475" s="192"/>
      <c r="J475" s="192"/>
      <c r="K475" s="192"/>
      <c r="L475" s="192"/>
      <c r="M475" s="192"/>
      <c r="N475" s="192"/>
      <c r="O475" s="192"/>
      <c r="P475" s="192"/>
      <c r="Q475" s="192"/>
      <c r="R475" s="192"/>
      <c r="BE475" s="80"/>
    </row>
    <row r="476" spans="2:18" ht="12.75" hidden="1" outlineLevel="2">
      <c r="B476" s="177"/>
      <c r="C476" s="200" t="s">
        <v>305</v>
      </c>
      <c r="D476" s="177"/>
      <c r="E476" s="177"/>
      <c r="F476" s="177"/>
      <c r="G476" s="177"/>
      <c r="H476" s="177"/>
      <c r="I476" s="177"/>
      <c r="J476" s="177"/>
      <c r="K476" s="177"/>
      <c r="L476" s="177"/>
      <c r="M476" s="177"/>
      <c r="N476" s="177"/>
      <c r="O476" s="177"/>
      <c r="P476" s="177"/>
      <c r="Q476" s="177"/>
      <c r="R476" s="177"/>
    </row>
    <row r="477" spans="2:57" s="71" customFormat="1" ht="8.25" hidden="1" outlineLevel="2">
      <c r="B477" s="187"/>
      <c r="C477" s="187"/>
      <c r="D477" s="187"/>
      <c r="E477" s="187"/>
      <c r="F477" s="187"/>
      <c r="G477" s="187"/>
      <c r="H477" s="187"/>
      <c r="I477" s="187"/>
      <c r="J477" s="187"/>
      <c r="K477" s="187"/>
      <c r="L477" s="187"/>
      <c r="M477" s="187"/>
      <c r="N477" s="187"/>
      <c r="O477" s="187"/>
      <c r="P477" s="187"/>
      <c r="Q477" s="187"/>
      <c r="R477" s="187"/>
      <c r="BE477" s="75"/>
    </row>
    <row r="478" spans="2:57" ht="12.75" hidden="1" outlineLevel="2">
      <c r="B478" s="177"/>
      <c r="C478" s="141"/>
      <c r="D478" s="224" t="s">
        <v>257</v>
      </c>
      <c r="E478" s="177"/>
      <c r="F478" s="177"/>
      <c r="G478" s="177"/>
      <c r="H478" s="177"/>
      <c r="I478" s="177"/>
      <c r="J478" s="177"/>
      <c r="K478" s="177"/>
      <c r="L478" s="177"/>
      <c r="M478" s="177"/>
      <c r="N478" s="177"/>
      <c r="O478" s="177"/>
      <c r="P478" s="177"/>
      <c r="Q478" s="177"/>
      <c r="R478" s="177"/>
      <c r="BE478" s="81"/>
    </row>
    <row r="479" spans="2:18" s="75" customFormat="1" ht="8.25" hidden="1" outlineLevel="2">
      <c r="B479" s="192"/>
      <c r="C479" s="192"/>
      <c r="D479" s="192"/>
      <c r="E479" s="192"/>
      <c r="F479" s="192"/>
      <c r="G479" s="192"/>
      <c r="H479" s="192"/>
      <c r="I479" s="192"/>
      <c r="J479" s="192"/>
      <c r="K479" s="192"/>
      <c r="L479" s="192"/>
      <c r="M479" s="192"/>
      <c r="N479" s="192"/>
      <c r="O479" s="192"/>
      <c r="P479" s="192"/>
      <c r="Q479" s="192"/>
      <c r="R479" s="192"/>
    </row>
    <row r="480" spans="2:57" ht="12.75" hidden="1" outlineLevel="2">
      <c r="B480" s="177"/>
      <c r="C480" s="200" t="s">
        <v>306</v>
      </c>
      <c r="D480" s="177"/>
      <c r="E480" s="177"/>
      <c r="F480" s="177"/>
      <c r="G480" s="177"/>
      <c r="H480" s="177"/>
      <c r="I480" s="177"/>
      <c r="J480" s="177"/>
      <c r="K480" s="177"/>
      <c r="L480" s="177"/>
      <c r="M480" s="177"/>
      <c r="N480" s="177"/>
      <c r="O480" s="177"/>
      <c r="P480" s="177"/>
      <c r="Q480" s="177"/>
      <c r="R480" s="177"/>
      <c r="BE480" s="80"/>
    </row>
    <row r="481" spans="2:18" s="71" customFormat="1" ht="6.75" hidden="1" outlineLevel="2">
      <c r="B481" s="187"/>
      <c r="C481" s="187"/>
      <c r="D481" s="187"/>
      <c r="E481" s="187"/>
      <c r="F481" s="187"/>
      <c r="G481" s="187"/>
      <c r="H481" s="187"/>
      <c r="I481" s="187"/>
      <c r="J481" s="187"/>
      <c r="K481" s="187"/>
      <c r="L481" s="187"/>
      <c r="M481" s="187"/>
      <c r="N481" s="187"/>
      <c r="O481" s="187"/>
      <c r="P481" s="187"/>
      <c r="Q481" s="187"/>
      <c r="R481" s="187"/>
    </row>
    <row r="482" spans="2:57" ht="12.75" hidden="1" outlineLevel="2">
      <c r="B482" s="177"/>
      <c r="C482" s="279">
        <f>IF(F482="Vrachtwagen",1/4,IF(F482="Bus / transporter",1/9,IF(F482="Bus met aanhanger",1/7,IF(F482="Personenauto",1/11,0))))</f>
        <v>0</v>
      </c>
      <c r="D482" s="188" t="s">
        <v>307</v>
      </c>
      <c r="E482" s="177"/>
      <c r="F482" s="324" t="s">
        <v>265</v>
      </c>
      <c r="G482" s="325"/>
      <c r="H482" s="224" t="s">
        <v>768</v>
      </c>
      <c r="I482" s="177"/>
      <c r="J482" s="177"/>
      <c r="K482" s="177"/>
      <c r="L482" s="177"/>
      <c r="M482" s="177"/>
      <c r="N482" s="177"/>
      <c r="O482" s="177"/>
      <c r="P482" s="177"/>
      <c r="Q482" s="177"/>
      <c r="R482" s="177"/>
      <c r="BE482" s="71"/>
    </row>
    <row r="483" spans="2:18" s="75" customFormat="1" ht="8.25" hidden="1" outlineLevel="2">
      <c r="B483" s="192"/>
      <c r="C483" s="192"/>
      <c r="D483" s="192"/>
      <c r="E483" s="192"/>
      <c r="F483" s="192"/>
      <c r="G483" s="192"/>
      <c r="H483" s="192"/>
      <c r="I483" s="192"/>
      <c r="J483" s="192"/>
      <c r="K483" s="192"/>
      <c r="L483" s="192"/>
      <c r="M483" s="192"/>
      <c r="N483" s="192"/>
      <c r="O483" s="192"/>
      <c r="P483" s="192"/>
      <c r="Q483" s="192"/>
      <c r="R483" s="192"/>
    </row>
    <row r="484" spans="2:57" ht="12.75" hidden="1" outlineLevel="2">
      <c r="B484" s="177"/>
      <c r="C484" s="200" t="s">
        <v>308</v>
      </c>
      <c r="D484" s="177"/>
      <c r="E484" s="177"/>
      <c r="F484" s="177"/>
      <c r="G484" s="177"/>
      <c r="H484" s="177"/>
      <c r="I484" s="177"/>
      <c r="J484" s="177"/>
      <c r="K484" s="177"/>
      <c r="L484" s="177"/>
      <c r="M484" s="177"/>
      <c r="N484" s="177"/>
      <c r="O484" s="177"/>
      <c r="P484" s="177"/>
      <c r="Q484" s="177"/>
      <c r="R484" s="177"/>
      <c r="BE484" s="75"/>
    </row>
    <row r="485" spans="2:18" s="71" customFormat="1" ht="6.75" hidden="1" outlineLevel="2">
      <c r="B485" s="187"/>
      <c r="C485" s="187"/>
      <c r="D485" s="187"/>
      <c r="E485" s="187"/>
      <c r="F485" s="187"/>
      <c r="G485" s="187"/>
      <c r="H485" s="187"/>
      <c r="I485" s="187"/>
      <c r="J485" s="187"/>
      <c r="K485" s="187"/>
      <c r="L485" s="187"/>
      <c r="M485" s="187"/>
      <c r="N485" s="187"/>
      <c r="O485" s="187"/>
      <c r="P485" s="187"/>
      <c r="Q485" s="187"/>
      <c r="R485" s="187"/>
    </row>
    <row r="486" spans="2:57" ht="12.75" hidden="1" outlineLevel="2">
      <c r="B486" s="177"/>
      <c r="C486" s="324" t="s">
        <v>265</v>
      </c>
      <c r="D486" s="325"/>
      <c r="E486" s="177"/>
      <c r="F486" s="177"/>
      <c r="G486" s="177"/>
      <c r="H486" s="177"/>
      <c r="I486" s="177"/>
      <c r="J486" s="177"/>
      <c r="K486" s="177"/>
      <c r="L486" s="177"/>
      <c r="M486" s="177"/>
      <c r="N486" s="177"/>
      <c r="O486" s="177"/>
      <c r="P486" s="177"/>
      <c r="Q486" s="177"/>
      <c r="R486" s="177"/>
      <c r="BE486" s="71"/>
    </row>
    <row r="487" spans="2:18" s="75" customFormat="1" ht="8.25" hidden="1" outlineLevel="2">
      <c r="B487" s="192"/>
      <c r="C487" s="192"/>
      <c r="D487" s="192"/>
      <c r="E487" s="192"/>
      <c r="F487" s="192"/>
      <c r="G487" s="192"/>
      <c r="H487" s="192"/>
      <c r="I487" s="192"/>
      <c r="J487" s="192"/>
      <c r="K487" s="192"/>
      <c r="L487" s="192"/>
      <c r="M487" s="192"/>
      <c r="N487" s="192"/>
      <c r="O487" s="192"/>
      <c r="P487" s="192"/>
      <c r="Q487" s="192"/>
      <c r="R487" s="192"/>
    </row>
    <row r="488" spans="2:57" s="81" customFormat="1" ht="11.25" hidden="1" outlineLevel="1">
      <c r="B488" s="219"/>
      <c r="C488" s="219"/>
      <c r="D488" s="219"/>
      <c r="E488" s="219"/>
      <c r="F488" s="219"/>
      <c r="G488" s="219"/>
      <c r="H488" s="219"/>
      <c r="I488" s="219"/>
      <c r="J488" s="219"/>
      <c r="K488" s="219"/>
      <c r="L488" s="219"/>
      <c r="M488" s="219"/>
      <c r="N488" s="219"/>
      <c r="O488" s="219"/>
      <c r="P488" s="219"/>
      <c r="Q488" s="219"/>
      <c r="R488" s="219"/>
      <c r="BE488" s="75"/>
    </row>
    <row r="489" spans="2:18" ht="12.75">
      <c r="B489" s="177"/>
      <c r="C489" s="177"/>
      <c r="D489" s="177"/>
      <c r="E489" s="177"/>
      <c r="F489" s="177"/>
      <c r="G489" s="177"/>
      <c r="H489" s="177"/>
      <c r="I489" s="177"/>
      <c r="J489" s="177"/>
      <c r="K489" s="177"/>
      <c r="L489" s="177"/>
      <c r="M489" s="177"/>
      <c r="N489" s="177"/>
      <c r="O489" s="177"/>
      <c r="P489" s="177"/>
      <c r="Q489" s="177"/>
      <c r="R489" s="177"/>
    </row>
    <row r="490" spans="2:57" ht="18">
      <c r="B490" s="197" t="s">
        <v>589</v>
      </c>
      <c r="C490" s="177"/>
      <c r="D490" s="177"/>
      <c r="E490" s="177"/>
      <c r="F490" s="177"/>
      <c r="G490" s="177"/>
      <c r="H490" s="177"/>
      <c r="I490" s="177"/>
      <c r="J490" s="177"/>
      <c r="K490" s="177"/>
      <c r="L490" s="177"/>
      <c r="M490" s="177"/>
      <c r="N490" s="177"/>
      <c r="O490" s="177"/>
      <c r="P490" s="177"/>
      <c r="Q490" s="177"/>
      <c r="R490" s="177"/>
      <c r="BE490" s="71"/>
    </row>
    <row r="491" spans="2:18" ht="12.75">
      <c r="B491" s="177"/>
      <c r="C491" s="177"/>
      <c r="D491" s="177"/>
      <c r="E491" s="177"/>
      <c r="F491" s="177"/>
      <c r="G491" s="177"/>
      <c r="H491" s="177"/>
      <c r="I491" s="177"/>
      <c r="J491" s="177"/>
      <c r="K491" s="177"/>
      <c r="L491" s="177"/>
      <c r="M491" s="177"/>
      <c r="N491" s="177"/>
      <c r="O491" s="177"/>
      <c r="P491" s="177"/>
      <c r="Q491" s="177"/>
      <c r="R491" s="177"/>
    </row>
    <row r="492" spans="2:57" ht="12.75" hidden="1" outlineLevel="1">
      <c r="B492" s="177"/>
      <c r="C492" s="198" t="s">
        <v>510</v>
      </c>
      <c r="D492" s="177"/>
      <c r="E492" s="177"/>
      <c r="F492" s="177"/>
      <c r="G492" s="177"/>
      <c r="H492" s="177"/>
      <c r="I492" s="177"/>
      <c r="J492" s="177"/>
      <c r="K492" s="177"/>
      <c r="L492" s="177"/>
      <c r="M492" s="177"/>
      <c r="N492" s="177"/>
      <c r="O492" s="177"/>
      <c r="P492" s="177"/>
      <c r="Q492" s="177"/>
      <c r="R492" s="177"/>
      <c r="BE492" s="75"/>
    </row>
    <row r="493" spans="2:18" s="80" customFormat="1" ht="8.25" hidden="1" outlineLevel="2">
      <c r="B493" s="199"/>
      <c r="C493" s="199"/>
      <c r="D493" s="199"/>
      <c r="E493" s="199"/>
      <c r="F493" s="199"/>
      <c r="G493" s="199"/>
      <c r="H493" s="199"/>
      <c r="I493" s="199"/>
      <c r="J493" s="199"/>
      <c r="K493" s="199"/>
      <c r="L493" s="199"/>
      <c r="M493" s="199"/>
      <c r="N493" s="199"/>
      <c r="O493" s="199"/>
      <c r="P493" s="199"/>
      <c r="Q493" s="199"/>
      <c r="R493" s="199"/>
    </row>
    <row r="494" spans="2:57" ht="12.75" hidden="1" outlineLevel="2">
      <c r="B494" s="177"/>
      <c r="C494" s="200" t="s">
        <v>266</v>
      </c>
      <c r="D494" s="202"/>
      <c r="E494" s="202"/>
      <c r="F494" s="202"/>
      <c r="G494" s="202"/>
      <c r="H494" s="202"/>
      <c r="I494" s="202"/>
      <c r="J494" s="202"/>
      <c r="K494" s="202"/>
      <c r="L494" s="202"/>
      <c r="M494" s="202"/>
      <c r="N494" s="202"/>
      <c r="O494" s="202"/>
      <c r="P494" s="202"/>
      <c r="Q494" s="177"/>
      <c r="R494" s="177"/>
      <c r="BE494" s="71"/>
    </row>
    <row r="495" spans="2:18" s="71" customFormat="1" ht="6.75" hidden="1" outlineLevel="2">
      <c r="B495" s="187"/>
      <c r="C495" s="187"/>
      <c r="D495" s="187"/>
      <c r="E495" s="187"/>
      <c r="F495" s="187"/>
      <c r="G495" s="187"/>
      <c r="H495" s="187"/>
      <c r="I495" s="187"/>
      <c r="J495" s="187"/>
      <c r="K495" s="187"/>
      <c r="L495" s="187"/>
      <c r="M495" s="187"/>
      <c r="N495" s="187"/>
      <c r="O495" s="187"/>
      <c r="P495" s="187"/>
      <c r="Q495" s="187"/>
      <c r="R495" s="187"/>
    </row>
    <row r="496" spans="2:57" ht="12.75" hidden="1" outlineLevel="2">
      <c r="B496" s="177"/>
      <c r="C496" s="326" t="s">
        <v>265</v>
      </c>
      <c r="D496" s="341"/>
      <c r="E496" s="327"/>
      <c r="F496" s="202"/>
      <c r="G496" s="225"/>
      <c r="H496" s="202"/>
      <c r="I496" s="202"/>
      <c r="J496" s="202"/>
      <c r="K496" s="202"/>
      <c r="L496" s="202"/>
      <c r="M496" s="202"/>
      <c r="N496" s="202"/>
      <c r="O496" s="202"/>
      <c r="P496" s="202"/>
      <c r="Q496" s="177"/>
      <c r="R496" s="177"/>
      <c r="BE496" s="75"/>
    </row>
    <row r="497" spans="2:18" s="81" customFormat="1" ht="11.25" hidden="1" outlineLevel="2">
      <c r="B497" s="219"/>
      <c r="C497" s="233"/>
      <c r="D497" s="233"/>
      <c r="E497" s="233"/>
      <c r="F497" s="219"/>
      <c r="G497" s="234"/>
      <c r="H497" s="219"/>
      <c r="I497" s="219"/>
      <c r="J497" s="219"/>
      <c r="K497" s="219"/>
      <c r="L497" s="219"/>
      <c r="M497" s="219"/>
      <c r="N497" s="219"/>
      <c r="O497" s="219"/>
      <c r="P497" s="219"/>
      <c r="Q497" s="219"/>
      <c r="R497" s="219"/>
    </row>
    <row r="498" spans="2:18" ht="12.75" hidden="1" outlineLevel="2">
      <c r="B498" s="177"/>
      <c r="C498" s="222" t="s">
        <v>410</v>
      </c>
      <c r="D498" s="177"/>
      <c r="E498" s="177"/>
      <c r="F498" s="177"/>
      <c r="G498" s="210" t="s">
        <v>316</v>
      </c>
      <c r="H498" s="177"/>
      <c r="I498" s="210" t="s">
        <v>260</v>
      </c>
      <c r="J498" s="177"/>
      <c r="K498" s="177"/>
      <c r="L498" s="210" t="s">
        <v>317</v>
      </c>
      <c r="M498" s="177"/>
      <c r="N498" s="177"/>
      <c r="O498" s="210" t="str">
        <f>IF(C496="Zelf details invoeren","Boorwerk d.m.v."," ")</f>
        <v> </v>
      </c>
      <c r="P498" s="177"/>
      <c r="Q498" s="177"/>
      <c r="R498" s="177"/>
    </row>
    <row r="499" spans="2:18" s="71" customFormat="1" ht="6.75" hidden="1" outlineLevel="2">
      <c r="B499" s="187"/>
      <c r="C499" s="187"/>
      <c r="D499" s="187"/>
      <c r="E499" s="187"/>
      <c r="F499" s="187"/>
      <c r="G499" s="187"/>
      <c r="H499" s="187"/>
      <c r="I499" s="187"/>
      <c r="J499" s="187"/>
      <c r="K499" s="187"/>
      <c r="L499" s="187"/>
      <c r="M499" s="187"/>
      <c r="N499" s="187"/>
      <c r="O499" s="187"/>
      <c r="P499" s="187"/>
      <c r="Q499" s="187"/>
      <c r="R499" s="187"/>
    </row>
    <row r="500" spans="2:18" ht="12.75" hidden="1" outlineLevel="2">
      <c r="B500" s="177"/>
      <c r="C500" s="223" t="s">
        <v>315</v>
      </c>
      <c r="D500" s="177"/>
      <c r="E500" s="141"/>
      <c r="F500" s="188" t="s">
        <v>270</v>
      </c>
      <c r="G500" s="141"/>
      <c r="H500" s="188" t="s">
        <v>259</v>
      </c>
      <c r="I500" s="326" t="s">
        <v>265</v>
      </c>
      <c r="J500" s="327"/>
      <c r="K500" s="177"/>
      <c r="L500" s="326" t="s">
        <v>265</v>
      </c>
      <c r="M500" s="327"/>
      <c r="N500" s="177"/>
      <c r="O500" s="332" t="s">
        <v>265</v>
      </c>
      <c r="P500" s="332"/>
      <c r="Q500" s="177"/>
      <c r="R500" s="177"/>
    </row>
    <row r="501" spans="2:18" s="71" customFormat="1" ht="6.75" hidden="1" outlineLevel="2">
      <c r="B501" s="187"/>
      <c r="C501" s="187"/>
      <c r="D501" s="187"/>
      <c r="E501" s="187"/>
      <c r="F501" s="187"/>
      <c r="G501" s="187"/>
      <c r="H501" s="187"/>
      <c r="I501" s="187"/>
      <c r="J501" s="187"/>
      <c r="K501" s="187"/>
      <c r="L501" s="187"/>
      <c r="M501" s="187"/>
      <c r="N501" s="187"/>
      <c r="O501" s="187"/>
      <c r="P501" s="187"/>
      <c r="Q501" s="187"/>
      <c r="R501" s="187"/>
    </row>
    <row r="502" spans="2:57" ht="12.75" hidden="1" outlineLevel="2">
      <c r="B502" s="177"/>
      <c r="C502" s="223" t="s">
        <v>322</v>
      </c>
      <c r="D502" s="177"/>
      <c r="E502" s="141"/>
      <c r="F502" s="188" t="s">
        <v>270</v>
      </c>
      <c r="G502" s="141"/>
      <c r="H502" s="188" t="s">
        <v>259</v>
      </c>
      <c r="I502" s="324" t="s">
        <v>265</v>
      </c>
      <c r="J502" s="325"/>
      <c r="K502" s="177"/>
      <c r="L502" s="324" t="s">
        <v>265</v>
      </c>
      <c r="M502" s="325"/>
      <c r="N502" s="177"/>
      <c r="O502" s="332" t="s">
        <v>265</v>
      </c>
      <c r="P502" s="332"/>
      <c r="Q502" s="177"/>
      <c r="R502" s="177"/>
      <c r="BE502" s="80"/>
    </row>
    <row r="503" spans="2:18" s="71" customFormat="1" ht="6.75" hidden="1" outlineLevel="2">
      <c r="B503" s="187"/>
      <c r="C503" s="187"/>
      <c r="D503" s="187"/>
      <c r="E503" s="187"/>
      <c r="F503" s="187"/>
      <c r="G503" s="187"/>
      <c r="H503" s="187"/>
      <c r="I503" s="187"/>
      <c r="J503" s="187"/>
      <c r="K503" s="187"/>
      <c r="L503" s="187"/>
      <c r="M503" s="187"/>
      <c r="N503" s="187"/>
      <c r="O503" s="187"/>
      <c r="P503" s="187"/>
      <c r="Q503" s="187"/>
      <c r="R503" s="187"/>
    </row>
    <row r="504" spans="2:57" ht="12.75" hidden="1" outlineLevel="2">
      <c r="B504" s="177"/>
      <c r="C504" s="223" t="s">
        <v>323</v>
      </c>
      <c r="D504" s="177"/>
      <c r="E504" s="141"/>
      <c r="F504" s="188" t="s">
        <v>270</v>
      </c>
      <c r="G504" s="141"/>
      <c r="H504" s="188" t="s">
        <v>259</v>
      </c>
      <c r="I504" s="324" t="s">
        <v>265</v>
      </c>
      <c r="J504" s="325"/>
      <c r="K504" s="177"/>
      <c r="L504" s="324" t="s">
        <v>265</v>
      </c>
      <c r="M504" s="325"/>
      <c r="N504" s="177"/>
      <c r="O504" s="332" t="s">
        <v>265</v>
      </c>
      <c r="P504" s="332"/>
      <c r="Q504" s="177"/>
      <c r="R504" s="177"/>
      <c r="BE504" s="71"/>
    </row>
    <row r="505" spans="2:18" s="71" customFormat="1" ht="6.75" hidden="1" outlineLevel="2">
      <c r="B505" s="187"/>
      <c r="C505" s="187"/>
      <c r="D505" s="187"/>
      <c r="E505" s="187"/>
      <c r="F505" s="187"/>
      <c r="G505" s="187"/>
      <c r="H505" s="187"/>
      <c r="I505" s="187"/>
      <c r="J505" s="187"/>
      <c r="K505" s="187"/>
      <c r="L505" s="187"/>
      <c r="M505" s="187"/>
      <c r="N505" s="187"/>
      <c r="O505" s="187"/>
      <c r="P505" s="187"/>
      <c r="Q505" s="187"/>
      <c r="R505" s="187"/>
    </row>
    <row r="506" spans="2:57" ht="12.75" hidden="1" outlineLevel="2">
      <c r="B506" s="177"/>
      <c r="C506" s="223" t="s">
        <v>324</v>
      </c>
      <c r="D506" s="177"/>
      <c r="E506" s="141"/>
      <c r="F506" s="188" t="s">
        <v>270</v>
      </c>
      <c r="G506" s="141"/>
      <c r="H506" s="188" t="s">
        <v>259</v>
      </c>
      <c r="I506" s="324" t="s">
        <v>265</v>
      </c>
      <c r="J506" s="325"/>
      <c r="K506" s="177"/>
      <c r="L506" s="324" t="s">
        <v>265</v>
      </c>
      <c r="M506" s="325"/>
      <c r="N506" s="177"/>
      <c r="O506" s="332" t="s">
        <v>265</v>
      </c>
      <c r="P506" s="332"/>
      <c r="Q506" s="177"/>
      <c r="R506" s="177"/>
      <c r="BE506" s="81"/>
    </row>
    <row r="507" spans="2:18" s="81" customFormat="1" ht="11.25" hidden="1" outlineLevel="2">
      <c r="B507" s="219"/>
      <c r="C507" s="219"/>
      <c r="D507" s="219"/>
      <c r="E507" s="219"/>
      <c r="F507" s="219"/>
      <c r="G507" s="219"/>
      <c r="H507" s="219"/>
      <c r="I507" s="219"/>
      <c r="J507" s="219"/>
      <c r="K507" s="219"/>
      <c r="L507" s="219"/>
      <c r="M507" s="219"/>
      <c r="N507" s="219"/>
      <c r="O507" s="219"/>
      <c r="P507" s="219"/>
      <c r="Q507" s="219"/>
      <c r="R507" s="219"/>
    </row>
    <row r="508" spans="2:57" ht="12.75" hidden="1" outlineLevel="2">
      <c r="B508" s="177"/>
      <c r="C508" s="222" t="s">
        <v>387</v>
      </c>
      <c r="D508" s="177"/>
      <c r="E508" s="177"/>
      <c r="F508" s="177"/>
      <c r="G508" s="210" t="s">
        <v>389</v>
      </c>
      <c r="H508" s="177"/>
      <c r="I508" s="210" t="s">
        <v>390</v>
      </c>
      <c r="J508" s="177"/>
      <c r="K508" s="177"/>
      <c r="L508" s="210" t="s">
        <v>391</v>
      </c>
      <c r="M508" s="177"/>
      <c r="N508" s="177"/>
      <c r="O508" s="177"/>
      <c r="P508" s="177"/>
      <c r="Q508" s="177"/>
      <c r="R508" s="177"/>
      <c r="BE508" s="71"/>
    </row>
    <row r="509" spans="2:18" s="71" customFormat="1" ht="6.75" hidden="1" outlineLevel="2">
      <c r="B509" s="187"/>
      <c r="C509" s="187"/>
      <c r="D509" s="187"/>
      <c r="E509" s="187"/>
      <c r="F509" s="187"/>
      <c r="G509" s="187"/>
      <c r="H509" s="187"/>
      <c r="I509" s="187"/>
      <c r="J509" s="187"/>
      <c r="K509" s="187"/>
      <c r="L509" s="187"/>
      <c r="M509" s="187"/>
      <c r="N509" s="187"/>
      <c r="O509" s="187"/>
      <c r="P509" s="187"/>
      <c r="Q509" s="187"/>
      <c r="R509" s="187"/>
    </row>
    <row r="510" spans="2:57" ht="12.75" hidden="1" outlineLevel="2">
      <c r="B510" s="177"/>
      <c r="C510" s="223" t="s">
        <v>388</v>
      </c>
      <c r="D510" s="177"/>
      <c r="E510" s="141"/>
      <c r="F510" s="188" t="s">
        <v>270</v>
      </c>
      <c r="G510" s="141"/>
      <c r="H510" s="188" t="s">
        <v>259</v>
      </c>
      <c r="I510" s="326" t="s">
        <v>265</v>
      </c>
      <c r="J510" s="327"/>
      <c r="K510" s="177"/>
      <c r="L510" s="326" t="s">
        <v>265</v>
      </c>
      <c r="M510" s="327"/>
      <c r="N510" s="177"/>
      <c r="O510" s="177"/>
      <c r="P510" s="177"/>
      <c r="Q510" s="177"/>
      <c r="R510" s="177"/>
      <c r="BE510" s="71"/>
    </row>
    <row r="511" spans="2:18" s="71" customFormat="1" ht="6.75" hidden="1" outlineLevel="2">
      <c r="B511" s="187"/>
      <c r="C511" s="187"/>
      <c r="D511" s="187"/>
      <c r="E511" s="187"/>
      <c r="F511" s="187"/>
      <c r="G511" s="187"/>
      <c r="H511" s="187"/>
      <c r="I511" s="187"/>
      <c r="J511" s="187"/>
      <c r="K511" s="187"/>
      <c r="L511" s="187"/>
      <c r="M511" s="187"/>
      <c r="N511" s="187"/>
      <c r="O511" s="187"/>
      <c r="P511" s="187"/>
      <c r="Q511" s="187"/>
      <c r="R511" s="187"/>
    </row>
    <row r="512" spans="2:57" ht="12.75" hidden="1" outlineLevel="2">
      <c r="B512" s="177"/>
      <c r="C512" s="223" t="s">
        <v>392</v>
      </c>
      <c r="D512" s="177"/>
      <c r="E512" s="141"/>
      <c r="F512" s="188" t="s">
        <v>270</v>
      </c>
      <c r="G512" s="141"/>
      <c r="H512" s="188" t="s">
        <v>259</v>
      </c>
      <c r="I512" s="324" t="s">
        <v>265</v>
      </c>
      <c r="J512" s="325"/>
      <c r="K512" s="177"/>
      <c r="L512" s="324" t="s">
        <v>265</v>
      </c>
      <c r="M512" s="325"/>
      <c r="N512" s="177"/>
      <c r="O512" s="177"/>
      <c r="P512" s="177"/>
      <c r="Q512" s="177"/>
      <c r="R512" s="177"/>
      <c r="BE512" s="71"/>
    </row>
    <row r="513" spans="2:18" s="71" customFormat="1" ht="6.75" hidden="1" outlineLevel="2">
      <c r="B513" s="187"/>
      <c r="C513" s="187"/>
      <c r="D513" s="187"/>
      <c r="E513" s="187"/>
      <c r="F513" s="187"/>
      <c r="G513" s="187"/>
      <c r="H513" s="187"/>
      <c r="I513" s="187"/>
      <c r="J513" s="187"/>
      <c r="K513" s="187"/>
      <c r="L513" s="187"/>
      <c r="M513" s="187"/>
      <c r="N513" s="187"/>
      <c r="O513" s="187"/>
      <c r="P513" s="187"/>
      <c r="Q513" s="187"/>
      <c r="R513" s="187"/>
    </row>
    <row r="514" spans="2:57" ht="12.75" hidden="1" outlineLevel="2">
      <c r="B514" s="177"/>
      <c r="C514" s="223" t="s">
        <v>393</v>
      </c>
      <c r="D514" s="177"/>
      <c r="E514" s="141"/>
      <c r="F514" s="188" t="s">
        <v>270</v>
      </c>
      <c r="G514" s="141"/>
      <c r="H514" s="188" t="s">
        <v>259</v>
      </c>
      <c r="I514" s="324" t="s">
        <v>265</v>
      </c>
      <c r="J514" s="325"/>
      <c r="K514" s="177"/>
      <c r="L514" s="324" t="s">
        <v>265</v>
      </c>
      <c r="M514" s="325"/>
      <c r="N514" s="177"/>
      <c r="O514" s="177"/>
      <c r="P514" s="177"/>
      <c r="Q514" s="177"/>
      <c r="R514" s="177"/>
      <c r="BE514" s="71"/>
    </row>
    <row r="515" spans="2:18" s="71" customFormat="1" ht="6.75" hidden="1" outlineLevel="2">
      <c r="B515" s="187"/>
      <c r="C515" s="187"/>
      <c r="D515" s="187"/>
      <c r="E515" s="187"/>
      <c r="F515" s="187"/>
      <c r="G515" s="187"/>
      <c r="H515" s="187"/>
      <c r="I515" s="187"/>
      <c r="J515" s="187"/>
      <c r="K515" s="187"/>
      <c r="L515" s="187"/>
      <c r="M515" s="187"/>
      <c r="N515" s="187"/>
      <c r="O515" s="187"/>
      <c r="P515" s="187"/>
      <c r="Q515" s="187"/>
      <c r="R515" s="187"/>
    </row>
    <row r="516" spans="2:57" ht="12.75" hidden="1" outlineLevel="2">
      <c r="B516" s="177"/>
      <c r="C516" s="223" t="s">
        <v>394</v>
      </c>
      <c r="D516" s="177"/>
      <c r="E516" s="141"/>
      <c r="F516" s="188" t="s">
        <v>270</v>
      </c>
      <c r="G516" s="141"/>
      <c r="H516" s="188" t="s">
        <v>259</v>
      </c>
      <c r="I516" s="324" t="s">
        <v>265</v>
      </c>
      <c r="J516" s="325"/>
      <c r="K516" s="177"/>
      <c r="L516" s="324" t="s">
        <v>265</v>
      </c>
      <c r="M516" s="325"/>
      <c r="N516" s="177"/>
      <c r="O516" s="177"/>
      <c r="P516" s="177"/>
      <c r="Q516" s="177"/>
      <c r="R516" s="177"/>
      <c r="BE516" s="81"/>
    </row>
    <row r="517" spans="2:18" s="75" customFormat="1" ht="8.25" hidden="1" outlineLevel="2">
      <c r="B517" s="192"/>
      <c r="C517" s="192"/>
      <c r="D517" s="192"/>
      <c r="E517" s="192"/>
      <c r="F517" s="192"/>
      <c r="G517" s="192"/>
      <c r="H517" s="192"/>
      <c r="I517" s="192"/>
      <c r="J517" s="192"/>
      <c r="K517" s="192"/>
      <c r="L517" s="192"/>
      <c r="M517" s="192"/>
      <c r="N517" s="192"/>
      <c r="O517" s="192"/>
      <c r="P517" s="192"/>
      <c r="Q517" s="192"/>
      <c r="R517" s="192"/>
    </row>
    <row r="518" spans="2:57" s="81" customFormat="1" ht="11.25" hidden="1" outlineLevel="1">
      <c r="B518" s="219"/>
      <c r="C518" s="219"/>
      <c r="D518" s="219"/>
      <c r="E518" s="219"/>
      <c r="F518" s="219"/>
      <c r="G518" s="219"/>
      <c r="H518" s="219"/>
      <c r="I518" s="219"/>
      <c r="J518" s="219"/>
      <c r="K518" s="219"/>
      <c r="L518" s="219"/>
      <c r="M518" s="219"/>
      <c r="N518" s="219"/>
      <c r="O518" s="219"/>
      <c r="P518" s="219"/>
      <c r="Q518" s="219"/>
      <c r="R518" s="219"/>
      <c r="BE518" s="71"/>
    </row>
    <row r="519" spans="2:18" ht="12.75" hidden="1" outlineLevel="1">
      <c r="B519" s="177"/>
      <c r="C519" s="198" t="s">
        <v>511</v>
      </c>
      <c r="D519" s="177"/>
      <c r="E519" s="177"/>
      <c r="F519" s="177"/>
      <c r="G519" s="177"/>
      <c r="H519" s="177"/>
      <c r="I519" s="177"/>
      <c r="J519" s="177"/>
      <c r="K519" s="177"/>
      <c r="L519" s="177"/>
      <c r="M519" s="177"/>
      <c r="N519" s="177"/>
      <c r="O519" s="177"/>
      <c r="P519" s="177"/>
      <c r="Q519" s="177"/>
      <c r="R519" s="177"/>
    </row>
    <row r="520" spans="2:57" s="80" customFormat="1" ht="8.25" hidden="1" outlineLevel="2">
      <c r="B520" s="199"/>
      <c r="C520" s="199"/>
      <c r="D520" s="199"/>
      <c r="E520" s="199"/>
      <c r="F520" s="199"/>
      <c r="G520" s="199"/>
      <c r="H520" s="199"/>
      <c r="I520" s="199"/>
      <c r="J520" s="199"/>
      <c r="K520" s="199"/>
      <c r="L520" s="199"/>
      <c r="M520" s="199"/>
      <c r="N520" s="199"/>
      <c r="O520" s="199"/>
      <c r="P520" s="199"/>
      <c r="Q520" s="199"/>
      <c r="R520" s="199"/>
      <c r="BE520" s="71"/>
    </row>
    <row r="521" spans="2:18" ht="12.75" hidden="1" outlineLevel="2">
      <c r="B521" s="177"/>
      <c r="C521" s="222" t="s">
        <v>512</v>
      </c>
      <c r="D521" s="177"/>
      <c r="E521" s="177"/>
      <c r="F521" s="177"/>
      <c r="G521" s="177"/>
      <c r="H521" s="210" t="s">
        <v>585</v>
      </c>
      <c r="I521" s="177"/>
      <c r="J521" s="177"/>
      <c r="K521" s="210" t="s">
        <v>255</v>
      </c>
      <c r="L521" s="177"/>
      <c r="M521" s="177"/>
      <c r="N521" s="177"/>
      <c r="O521" s="177"/>
      <c r="P521" s="177"/>
      <c r="Q521" s="177"/>
      <c r="R521" s="177"/>
    </row>
    <row r="522" spans="2:18" s="71" customFormat="1" ht="6.75" hidden="1" outlineLevel="2">
      <c r="B522" s="187"/>
      <c r="C522" s="187"/>
      <c r="D522" s="187"/>
      <c r="E522" s="187"/>
      <c r="F522" s="187"/>
      <c r="G522" s="187"/>
      <c r="H522" s="187"/>
      <c r="I522" s="187"/>
      <c r="J522" s="187"/>
      <c r="K522" s="187"/>
      <c r="L522" s="187"/>
      <c r="M522" s="187"/>
      <c r="N522" s="187"/>
      <c r="O522" s="187"/>
      <c r="P522" s="187"/>
      <c r="Q522" s="187"/>
      <c r="R522" s="187"/>
    </row>
    <row r="523" spans="2:18" ht="12.75" hidden="1" outlineLevel="2">
      <c r="B523" s="177"/>
      <c r="C523" s="223" t="s">
        <v>513</v>
      </c>
      <c r="D523" s="177"/>
      <c r="E523" s="177"/>
      <c r="F523" s="309"/>
      <c r="G523" s="188" t="s">
        <v>259</v>
      </c>
      <c r="H523" s="309"/>
      <c r="I523" s="188" t="s">
        <v>401</v>
      </c>
      <c r="J523" s="177"/>
      <c r="K523" s="328" t="s">
        <v>265</v>
      </c>
      <c r="L523" s="329"/>
      <c r="M523" s="177"/>
      <c r="N523" s="177"/>
      <c r="O523" s="177"/>
      <c r="P523" s="177"/>
      <c r="Q523" s="177"/>
      <c r="R523" s="177"/>
    </row>
    <row r="524" spans="2:18" s="71" customFormat="1" ht="6.75" hidden="1" outlineLevel="2">
      <c r="B524" s="187"/>
      <c r="C524" s="187"/>
      <c r="D524" s="187"/>
      <c r="E524" s="187"/>
      <c r="F524" s="187"/>
      <c r="G524" s="187"/>
      <c r="H524" s="187"/>
      <c r="I524" s="187"/>
      <c r="J524" s="187"/>
      <c r="K524" s="187"/>
      <c r="L524" s="187"/>
      <c r="M524" s="187"/>
      <c r="N524" s="187"/>
      <c r="O524" s="187"/>
      <c r="P524" s="187"/>
      <c r="Q524" s="187"/>
      <c r="R524" s="187"/>
    </row>
    <row r="525" spans="2:18" ht="12.75" hidden="1" outlineLevel="2">
      <c r="B525" s="177"/>
      <c r="C525" s="223" t="s">
        <v>514</v>
      </c>
      <c r="D525" s="177"/>
      <c r="E525" s="177"/>
      <c r="F525" s="309"/>
      <c r="G525" s="188" t="s">
        <v>259</v>
      </c>
      <c r="H525" s="309"/>
      <c r="I525" s="188" t="s">
        <v>401</v>
      </c>
      <c r="J525" s="177"/>
      <c r="K525" s="328" t="s">
        <v>265</v>
      </c>
      <c r="L525" s="329"/>
      <c r="M525" s="177"/>
      <c r="N525" s="177"/>
      <c r="O525" s="177"/>
      <c r="P525" s="177"/>
      <c r="Q525" s="177"/>
      <c r="R525" s="177"/>
    </row>
    <row r="526" spans="2:57" s="71" customFormat="1" ht="8.25" hidden="1" outlineLevel="2">
      <c r="B526" s="187"/>
      <c r="C526" s="187"/>
      <c r="D526" s="187"/>
      <c r="E526" s="187"/>
      <c r="F526" s="187"/>
      <c r="G526" s="187"/>
      <c r="H526" s="187"/>
      <c r="I526" s="187"/>
      <c r="J526" s="187"/>
      <c r="K526" s="187"/>
      <c r="L526" s="187"/>
      <c r="M526" s="187"/>
      <c r="N526" s="187"/>
      <c r="O526" s="187"/>
      <c r="P526" s="187"/>
      <c r="Q526" s="187"/>
      <c r="R526" s="187"/>
      <c r="BE526" s="75"/>
    </row>
    <row r="527" spans="2:57" ht="12.75" hidden="1" outlineLevel="2">
      <c r="B527" s="177"/>
      <c r="C527" s="223" t="s">
        <v>515</v>
      </c>
      <c r="D527" s="177"/>
      <c r="E527" s="177"/>
      <c r="F527" s="309"/>
      <c r="G527" s="188" t="s">
        <v>259</v>
      </c>
      <c r="H527" s="309"/>
      <c r="I527" s="188" t="s">
        <v>401</v>
      </c>
      <c r="J527" s="177"/>
      <c r="K527" s="328" t="s">
        <v>265</v>
      </c>
      <c r="L527" s="329"/>
      <c r="M527" s="177"/>
      <c r="N527" s="177"/>
      <c r="O527" s="177"/>
      <c r="P527" s="177"/>
      <c r="Q527" s="177"/>
      <c r="R527" s="177"/>
      <c r="BE527" s="81"/>
    </row>
    <row r="528" spans="2:18" s="81" customFormat="1" ht="11.25" hidden="1" outlineLevel="2">
      <c r="B528" s="219"/>
      <c r="C528" s="219"/>
      <c r="D528" s="219"/>
      <c r="E528" s="219"/>
      <c r="F528" s="219"/>
      <c r="G528" s="219"/>
      <c r="H528" s="219"/>
      <c r="I528" s="219"/>
      <c r="J528" s="219"/>
      <c r="K528" s="219"/>
      <c r="L528" s="219"/>
      <c r="M528" s="219"/>
      <c r="N528" s="219"/>
      <c r="O528" s="219"/>
      <c r="P528" s="219"/>
      <c r="Q528" s="219"/>
      <c r="R528" s="219"/>
    </row>
    <row r="529" spans="2:57" ht="12.75" hidden="1" outlineLevel="2">
      <c r="B529" s="177"/>
      <c r="C529" s="222" t="s">
        <v>415</v>
      </c>
      <c r="D529" s="177"/>
      <c r="E529" s="177"/>
      <c r="F529" s="210" t="s">
        <v>585</v>
      </c>
      <c r="G529" s="177"/>
      <c r="H529" s="177"/>
      <c r="I529" s="177"/>
      <c r="J529" s="177"/>
      <c r="K529" s="210" t="s">
        <v>255</v>
      </c>
      <c r="L529" s="177"/>
      <c r="M529" s="177"/>
      <c r="N529" s="177"/>
      <c r="O529" s="177"/>
      <c r="P529" s="177"/>
      <c r="Q529" s="177"/>
      <c r="R529" s="177"/>
      <c r="BE529" s="80"/>
    </row>
    <row r="530" spans="2:18" s="71" customFormat="1" ht="6.75" hidden="1" outlineLevel="2">
      <c r="B530" s="187"/>
      <c r="C530" s="187"/>
      <c r="D530" s="187"/>
      <c r="E530" s="187"/>
      <c r="F530" s="187"/>
      <c r="G530" s="187"/>
      <c r="H530" s="187"/>
      <c r="I530" s="187"/>
      <c r="J530" s="187"/>
      <c r="K530" s="187"/>
      <c r="L530" s="187"/>
      <c r="M530" s="187"/>
      <c r="N530" s="187"/>
      <c r="O530" s="187"/>
      <c r="P530" s="187"/>
      <c r="Q530" s="187"/>
      <c r="R530" s="187"/>
    </row>
    <row r="531" spans="2:57" ht="12.75" hidden="1" outlineLevel="2">
      <c r="B531" s="235"/>
      <c r="C531" s="236" t="s">
        <v>379</v>
      </c>
      <c r="D531" s="239"/>
      <c r="E531" s="239"/>
      <c r="F531" s="318">
        <f>(100*($H$523*24)*$F$523)+(200*($H$525*24)*$F$525)+(300*($H$527*24)*$F$527)</f>
        <v>0</v>
      </c>
      <c r="G531" s="223" t="s">
        <v>692</v>
      </c>
      <c r="H531" s="309"/>
      <c r="I531" s="188" t="s">
        <v>691</v>
      </c>
      <c r="J531" s="177"/>
      <c r="K531" s="328" t="s">
        <v>265</v>
      </c>
      <c r="L531" s="329"/>
      <c r="M531" s="177"/>
      <c r="N531" s="177"/>
      <c r="O531" s="177"/>
      <c r="P531" s="177"/>
      <c r="Q531" s="177"/>
      <c r="R531" s="177"/>
      <c r="BE531" s="71"/>
    </row>
    <row r="532" spans="2:18" s="71" customFormat="1" ht="6.75" hidden="1" outlineLevel="2">
      <c r="B532" s="237"/>
      <c r="C532" s="237"/>
      <c r="D532" s="237"/>
      <c r="E532" s="237"/>
      <c r="F532" s="237"/>
      <c r="G532" s="237"/>
      <c r="H532" s="187"/>
      <c r="I532" s="187"/>
      <c r="J532" s="187"/>
      <c r="K532" s="187"/>
      <c r="L532" s="187"/>
      <c r="M532" s="187"/>
      <c r="N532" s="187"/>
      <c r="O532" s="187"/>
      <c r="P532" s="187"/>
      <c r="Q532" s="187"/>
      <c r="R532" s="187"/>
    </row>
    <row r="533" spans="2:57" ht="12.75" hidden="1" outlineLevel="2">
      <c r="B533" s="235"/>
      <c r="C533" s="223" t="s">
        <v>198</v>
      </c>
      <c r="D533" s="177"/>
      <c r="E533" s="177"/>
      <c r="F533" s="318">
        <f>(100*($H$523*24)*$F$523)+(200*($H$525*24)*$F$525)+(300*($H$527*24)*$F$527)</f>
        <v>0</v>
      </c>
      <c r="G533" s="223" t="s">
        <v>692</v>
      </c>
      <c r="H533" s="177"/>
      <c r="I533" s="177"/>
      <c r="J533" s="177"/>
      <c r="K533" s="328" t="s">
        <v>43</v>
      </c>
      <c r="L533" s="329"/>
      <c r="M533" s="177"/>
      <c r="N533" s="177"/>
      <c r="O533" s="177"/>
      <c r="P533" s="177"/>
      <c r="Q533" s="177"/>
      <c r="R533" s="177"/>
      <c r="BE533" s="71"/>
    </row>
    <row r="534" spans="2:18" s="145" customFormat="1" ht="8.25" hidden="1" outlineLevel="2">
      <c r="B534" s="240"/>
      <c r="C534" s="240"/>
      <c r="D534" s="240"/>
      <c r="E534" s="240"/>
      <c r="F534" s="240"/>
      <c r="G534" s="240"/>
      <c r="H534" s="240"/>
      <c r="I534" s="240"/>
      <c r="J534" s="240"/>
      <c r="K534" s="240"/>
      <c r="L534" s="240"/>
      <c r="M534" s="240"/>
      <c r="N534" s="240"/>
      <c r="O534" s="240"/>
      <c r="P534" s="240"/>
      <c r="Q534" s="240"/>
      <c r="R534" s="240"/>
    </row>
    <row r="535" spans="2:57" s="78" customFormat="1" ht="12.75" hidden="1" outlineLevel="2">
      <c r="B535" s="239"/>
      <c r="C535" s="222" t="s">
        <v>516</v>
      </c>
      <c r="D535" s="241"/>
      <c r="E535" s="241"/>
      <c r="F535" s="241"/>
      <c r="G535" s="241"/>
      <c r="H535" s="241"/>
      <c r="I535" s="241"/>
      <c r="J535" s="241"/>
      <c r="K535" s="241"/>
      <c r="L535" s="241"/>
      <c r="M535" s="241"/>
      <c r="N535" s="241"/>
      <c r="O535" s="241"/>
      <c r="P535" s="241"/>
      <c r="Q535" s="241"/>
      <c r="R535" s="241"/>
      <c r="BE535" s="71"/>
    </row>
    <row r="536" spans="2:18" s="103" customFormat="1" ht="6.75" hidden="1" outlineLevel="2">
      <c r="B536" s="242"/>
      <c r="C536" s="242"/>
      <c r="D536" s="242"/>
      <c r="E536" s="242"/>
      <c r="F536" s="242"/>
      <c r="G536" s="242"/>
      <c r="H536" s="242"/>
      <c r="I536" s="242"/>
      <c r="J536" s="242"/>
      <c r="K536" s="242"/>
      <c r="L536" s="242"/>
      <c r="M536" s="242"/>
      <c r="N536" s="242"/>
      <c r="O536" s="242"/>
      <c r="P536" s="242"/>
      <c r="Q536" s="242"/>
      <c r="R536" s="242"/>
    </row>
    <row r="537" spans="2:57" ht="12.75" hidden="1" outlineLevel="2">
      <c r="B537" s="235"/>
      <c r="C537" s="223" t="s">
        <v>517</v>
      </c>
      <c r="D537" s="177"/>
      <c r="E537" s="177"/>
      <c r="F537" s="141"/>
      <c r="G537" s="188" t="s">
        <v>256</v>
      </c>
      <c r="H537" s="177"/>
      <c r="I537" s="177"/>
      <c r="J537" s="177"/>
      <c r="K537" s="177"/>
      <c r="L537" s="177"/>
      <c r="M537" s="177"/>
      <c r="N537" s="177"/>
      <c r="O537" s="177"/>
      <c r="P537" s="177"/>
      <c r="Q537" s="177"/>
      <c r="R537" s="177"/>
      <c r="BE537" s="81"/>
    </row>
    <row r="538" spans="2:18" s="71" customFormat="1" ht="6.75" hidden="1" outlineLevel="2">
      <c r="B538" s="237"/>
      <c r="C538" s="187"/>
      <c r="D538" s="187"/>
      <c r="E538" s="187"/>
      <c r="F538" s="187"/>
      <c r="G538" s="187"/>
      <c r="H538" s="187"/>
      <c r="I538" s="187"/>
      <c r="J538" s="187"/>
      <c r="K538" s="187"/>
      <c r="L538" s="187"/>
      <c r="M538" s="187"/>
      <c r="N538" s="187"/>
      <c r="O538" s="187"/>
      <c r="P538" s="187"/>
      <c r="Q538" s="187"/>
      <c r="R538" s="187"/>
    </row>
    <row r="539" spans="2:57" ht="12.75" hidden="1" outlineLevel="2">
      <c r="B539" s="235"/>
      <c r="C539" s="223" t="s">
        <v>518</v>
      </c>
      <c r="D539" s="177"/>
      <c r="E539" s="177"/>
      <c r="F539" s="141"/>
      <c r="G539" s="188" t="s">
        <v>256</v>
      </c>
      <c r="H539" s="177"/>
      <c r="I539" s="177"/>
      <c r="J539" s="177"/>
      <c r="K539" s="177"/>
      <c r="L539" s="177"/>
      <c r="M539" s="177"/>
      <c r="N539" s="177"/>
      <c r="O539" s="177"/>
      <c r="P539" s="177"/>
      <c r="Q539" s="177"/>
      <c r="R539" s="177"/>
      <c r="BE539" s="71"/>
    </row>
    <row r="540" spans="2:18" s="75" customFormat="1" ht="8.25" hidden="1" outlineLevel="2">
      <c r="B540" s="192"/>
      <c r="C540" s="192"/>
      <c r="D540" s="192"/>
      <c r="E540" s="192"/>
      <c r="F540" s="192"/>
      <c r="G540" s="192"/>
      <c r="H540" s="192"/>
      <c r="I540" s="192"/>
      <c r="J540" s="192"/>
      <c r="K540" s="192"/>
      <c r="L540" s="192"/>
      <c r="M540" s="192"/>
      <c r="N540" s="192"/>
      <c r="O540" s="192"/>
      <c r="P540" s="192"/>
      <c r="Q540" s="192"/>
      <c r="R540" s="192"/>
    </row>
    <row r="541" spans="2:57" s="81" customFormat="1" ht="11.25" hidden="1" outlineLevel="1">
      <c r="B541" s="219"/>
      <c r="C541" s="219"/>
      <c r="D541" s="219"/>
      <c r="E541" s="219"/>
      <c r="F541" s="219"/>
      <c r="G541" s="219"/>
      <c r="H541" s="219"/>
      <c r="I541" s="219"/>
      <c r="J541" s="219"/>
      <c r="K541" s="219"/>
      <c r="L541" s="219"/>
      <c r="M541" s="219"/>
      <c r="N541" s="219"/>
      <c r="O541" s="219"/>
      <c r="P541" s="219"/>
      <c r="Q541" s="219"/>
      <c r="R541" s="219"/>
      <c r="BE541" s="71"/>
    </row>
    <row r="542" spans="2:18" ht="12.75" hidden="1" outlineLevel="1">
      <c r="B542" s="177"/>
      <c r="C542" s="198" t="s">
        <v>334</v>
      </c>
      <c r="D542" s="177"/>
      <c r="E542" s="177"/>
      <c r="F542" s="177"/>
      <c r="G542" s="177"/>
      <c r="H542" s="177"/>
      <c r="I542" s="177"/>
      <c r="J542" s="177"/>
      <c r="K542" s="177"/>
      <c r="L542" s="177"/>
      <c r="M542" s="177"/>
      <c r="N542" s="177"/>
      <c r="O542" s="177"/>
      <c r="P542" s="177"/>
      <c r="Q542" s="177"/>
      <c r="R542" s="177"/>
    </row>
    <row r="543" spans="2:57" s="80" customFormat="1" ht="8.25" hidden="1" outlineLevel="2">
      <c r="B543" s="199"/>
      <c r="C543" s="199"/>
      <c r="D543" s="199"/>
      <c r="E543" s="199"/>
      <c r="F543" s="199"/>
      <c r="G543" s="199"/>
      <c r="H543" s="199"/>
      <c r="I543" s="199"/>
      <c r="J543" s="199"/>
      <c r="K543" s="199"/>
      <c r="L543" s="199"/>
      <c r="M543" s="199"/>
      <c r="N543" s="199"/>
      <c r="O543" s="199"/>
      <c r="P543" s="199"/>
      <c r="Q543" s="199"/>
      <c r="R543" s="199"/>
      <c r="BE543" s="145"/>
    </row>
    <row r="544" spans="2:57" ht="12.75" hidden="1" outlineLevel="2">
      <c r="B544" s="177"/>
      <c r="C544" s="200" t="s">
        <v>289</v>
      </c>
      <c r="D544" s="177"/>
      <c r="E544" s="177"/>
      <c r="F544" s="177"/>
      <c r="G544" s="177"/>
      <c r="H544" s="177"/>
      <c r="I544" s="177"/>
      <c r="J544" s="177"/>
      <c r="K544" s="177"/>
      <c r="L544" s="177"/>
      <c r="M544" s="177"/>
      <c r="N544" s="177"/>
      <c r="O544" s="177"/>
      <c r="P544" s="177"/>
      <c r="Q544" s="177"/>
      <c r="R544" s="177"/>
      <c r="BE544" s="78"/>
    </row>
    <row r="545" spans="2:57" s="71" customFormat="1" ht="6.75" hidden="1" outlineLevel="2">
      <c r="B545" s="187"/>
      <c r="C545" s="187"/>
      <c r="D545" s="187"/>
      <c r="E545" s="187"/>
      <c r="F545" s="187"/>
      <c r="G545" s="187"/>
      <c r="H545" s="187"/>
      <c r="I545" s="187"/>
      <c r="J545" s="187"/>
      <c r="K545" s="187"/>
      <c r="L545" s="187"/>
      <c r="M545" s="187"/>
      <c r="N545" s="187"/>
      <c r="O545" s="187"/>
      <c r="P545" s="187"/>
      <c r="Q545" s="187"/>
      <c r="R545" s="187"/>
      <c r="BE545" s="103"/>
    </row>
    <row r="546" spans="2:18" ht="12.75" hidden="1" outlineLevel="2">
      <c r="B546" s="177"/>
      <c r="C546" s="141"/>
      <c r="D546" s="188" t="s">
        <v>254</v>
      </c>
      <c r="E546" s="177"/>
      <c r="F546" s="177"/>
      <c r="G546" s="177"/>
      <c r="H546" s="177"/>
      <c r="I546" s="177"/>
      <c r="J546" s="177"/>
      <c r="K546" s="177"/>
      <c r="L546" s="177"/>
      <c r="M546" s="177"/>
      <c r="N546" s="177"/>
      <c r="O546" s="177"/>
      <c r="P546" s="177"/>
      <c r="Q546" s="177"/>
      <c r="R546" s="177"/>
    </row>
    <row r="547" spans="2:57" s="75" customFormat="1" ht="8.25" hidden="1" outlineLevel="2">
      <c r="B547" s="192"/>
      <c r="C547" s="192"/>
      <c r="D547" s="192"/>
      <c r="E547" s="192"/>
      <c r="F547" s="192"/>
      <c r="G547" s="192"/>
      <c r="H547" s="192"/>
      <c r="I547" s="192"/>
      <c r="J547" s="192"/>
      <c r="K547" s="192"/>
      <c r="L547" s="192"/>
      <c r="M547" s="192"/>
      <c r="N547" s="192"/>
      <c r="O547" s="192"/>
      <c r="P547" s="192"/>
      <c r="Q547" s="192"/>
      <c r="R547" s="192"/>
      <c r="BE547" s="71"/>
    </row>
    <row r="548" spans="2:18" ht="12.75" hidden="1" outlineLevel="2">
      <c r="B548" s="177"/>
      <c r="C548" s="200" t="s">
        <v>305</v>
      </c>
      <c r="D548" s="177"/>
      <c r="E548" s="177"/>
      <c r="F548" s="177"/>
      <c r="G548" s="177"/>
      <c r="H548" s="177"/>
      <c r="I548" s="177"/>
      <c r="J548" s="177"/>
      <c r="K548" s="177"/>
      <c r="L548" s="177"/>
      <c r="M548" s="177"/>
      <c r="N548" s="177"/>
      <c r="O548" s="177"/>
      <c r="P548" s="177"/>
      <c r="Q548" s="177"/>
      <c r="R548" s="177"/>
    </row>
    <row r="549" spans="2:57" s="71" customFormat="1" ht="8.25" hidden="1" outlineLevel="2">
      <c r="B549" s="187"/>
      <c r="C549" s="187"/>
      <c r="D549" s="187"/>
      <c r="E549" s="187"/>
      <c r="F549" s="187"/>
      <c r="G549" s="187"/>
      <c r="H549" s="187"/>
      <c r="I549" s="187"/>
      <c r="J549" s="187"/>
      <c r="K549" s="187"/>
      <c r="L549" s="187"/>
      <c r="M549" s="187"/>
      <c r="N549" s="187"/>
      <c r="O549" s="187"/>
      <c r="P549" s="187"/>
      <c r="Q549" s="187"/>
      <c r="R549" s="187"/>
      <c r="BE549" s="75"/>
    </row>
    <row r="550" spans="2:57" ht="12.75" hidden="1" outlineLevel="2">
      <c r="B550" s="177"/>
      <c r="C550" s="141"/>
      <c r="D550" s="224" t="s">
        <v>257</v>
      </c>
      <c r="E550" s="177"/>
      <c r="F550" s="177"/>
      <c r="G550" s="177"/>
      <c r="H550" s="177"/>
      <c r="I550" s="177"/>
      <c r="J550" s="177"/>
      <c r="K550" s="177"/>
      <c r="L550" s="177"/>
      <c r="M550" s="177"/>
      <c r="N550" s="177"/>
      <c r="O550" s="177"/>
      <c r="P550" s="177"/>
      <c r="Q550" s="177"/>
      <c r="R550" s="177"/>
      <c r="BE550" s="81"/>
    </row>
    <row r="551" spans="2:18" s="75" customFormat="1" ht="8.25" hidden="1" outlineLevel="2">
      <c r="B551" s="192"/>
      <c r="C551" s="192"/>
      <c r="D551" s="192"/>
      <c r="E551" s="192"/>
      <c r="F551" s="192"/>
      <c r="G551" s="192"/>
      <c r="H551" s="192"/>
      <c r="I551" s="192"/>
      <c r="J551" s="192"/>
      <c r="K551" s="192"/>
      <c r="L551" s="192"/>
      <c r="M551" s="192"/>
      <c r="N551" s="192"/>
      <c r="O551" s="192"/>
      <c r="P551" s="192"/>
      <c r="Q551" s="192"/>
      <c r="R551" s="192"/>
    </row>
    <row r="552" spans="2:57" ht="12.75" hidden="1" outlineLevel="2">
      <c r="B552" s="177"/>
      <c r="C552" s="200" t="s">
        <v>306</v>
      </c>
      <c r="D552" s="177"/>
      <c r="E552" s="177"/>
      <c r="F552" s="177"/>
      <c r="G552" s="177"/>
      <c r="H552" s="177"/>
      <c r="I552" s="177"/>
      <c r="J552" s="177"/>
      <c r="K552" s="177"/>
      <c r="L552" s="177"/>
      <c r="M552" s="177"/>
      <c r="N552" s="177"/>
      <c r="O552" s="177"/>
      <c r="P552" s="177"/>
      <c r="Q552" s="177"/>
      <c r="R552" s="177"/>
      <c r="BE552" s="80"/>
    </row>
    <row r="553" spans="2:18" s="71" customFormat="1" ht="6.75" hidden="1" outlineLevel="2">
      <c r="B553" s="187"/>
      <c r="C553" s="187"/>
      <c r="D553" s="187"/>
      <c r="E553" s="187"/>
      <c r="F553" s="187"/>
      <c r="G553" s="187"/>
      <c r="H553" s="187"/>
      <c r="I553" s="187"/>
      <c r="J553" s="187"/>
      <c r="K553" s="187"/>
      <c r="L553" s="187"/>
      <c r="M553" s="187"/>
      <c r="N553" s="187"/>
      <c r="O553" s="187"/>
      <c r="P553" s="187"/>
      <c r="Q553" s="187"/>
      <c r="R553" s="187"/>
    </row>
    <row r="554" spans="2:57" ht="12.75" hidden="1" outlineLevel="2">
      <c r="B554" s="177"/>
      <c r="C554" s="279">
        <f>IF(F554="Vrachtwagen",1/4,IF(F554="Bus / transporter",1/9,IF(F554="Bus met aanhanger",1/7,IF(F554="Personenauto",1/11,0))))</f>
        <v>0</v>
      </c>
      <c r="D554" s="188" t="s">
        <v>307</v>
      </c>
      <c r="E554" s="177"/>
      <c r="F554" s="324" t="s">
        <v>265</v>
      </c>
      <c r="G554" s="325"/>
      <c r="H554" s="224" t="s">
        <v>768</v>
      </c>
      <c r="I554" s="177"/>
      <c r="J554" s="177"/>
      <c r="K554" s="177"/>
      <c r="L554" s="177"/>
      <c r="M554" s="177"/>
      <c r="N554" s="177"/>
      <c r="O554" s="177"/>
      <c r="P554" s="177"/>
      <c r="Q554" s="177"/>
      <c r="R554" s="177"/>
      <c r="BE554" s="71"/>
    </row>
    <row r="555" spans="2:18" s="75" customFormat="1" ht="8.25" hidden="1" outlineLevel="2">
      <c r="B555" s="192"/>
      <c r="C555" s="192"/>
      <c r="D555" s="192"/>
      <c r="E555" s="192"/>
      <c r="F555" s="192"/>
      <c r="G555" s="192"/>
      <c r="H555" s="192"/>
      <c r="I555" s="192"/>
      <c r="J555" s="192"/>
      <c r="K555" s="192"/>
      <c r="L555" s="192"/>
      <c r="M555" s="192"/>
      <c r="N555" s="192"/>
      <c r="O555" s="192"/>
      <c r="P555" s="192"/>
      <c r="Q555" s="192"/>
      <c r="R555" s="192"/>
    </row>
    <row r="556" spans="2:57" ht="12.75" hidden="1" outlineLevel="2">
      <c r="B556" s="177"/>
      <c r="C556" s="200" t="s">
        <v>308</v>
      </c>
      <c r="D556" s="177"/>
      <c r="E556" s="177"/>
      <c r="F556" s="177"/>
      <c r="G556" s="177"/>
      <c r="H556" s="177"/>
      <c r="I556" s="177"/>
      <c r="J556" s="177"/>
      <c r="K556" s="177"/>
      <c r="L556" s="177"/>
      <c r="M556" s="177"/>
      <c r="N556" s="177"/>
      <c r="O556" s="177"/>
      <c r="P556" s="177"/>
      <c r="Q556" s="177"/>
      <c r="R556" s="177"/>
      <c r="BE556" s="75"/>
    </row>
    <row r="557" spans="2:18" s="71" customFormat="1" ht="6.75" hidden="1" outlineLevel="2">
      <c r="B557" s="187"/>
      <c r="C557" s="187"/>
      <c r="D557" s="187"/>
      <c r="E557" s="187"/>
      <c r="F557" s="187"/>
      <c r="G557" s="187"/>
      <c r="H557" s="187"/>
      <c r="I557" s="187"/>
      <c r="J557" s="187"/>
      <c r="K557" s="187"/>
      <c r="L557" s="187"/>
      <c r="M557" s="187"/>
      <c r="N557" s="187"/>
      <c r="O557" s="187"/>
      <c r="P557" s="187"/>
      <c r="Q557" s="187"/>
      <c r="R557" s="187"/>
    </row>
    <row r="558" spans="2:57" ht="12.75" hidden="1" outlineLevel="2">
      <c r="B558" s="177"/>
      <c r="C558" s="324" t="s">
        <v>265</v>
      </c>
      <c r="D558" s="325"/>
      <c r="E558" s="177"/>
      <c r="F558" s="177"/>
      <c r="G558" s="177"/>
      <c r="H558" s="177"/>
      <c r="I558" s="177"/>
      <c r="J558" s="177"/>
      <c r="K558" s="177"/>
      <c r="L558" s="177"/>
      <c r="M558" s="177"/>
      <c r="N558" s="177"/>
      <c r="O558" s="177"/>
      <c r="P558" s="177"/>
      <c r="Q558" s="177"/>
      <c r="R558" s="177"/>
      <c r="BE558" s="71"/>
    </row>
    <row r="559" spans="2:18" s="75" customFormat="1" ht="8.25" hidden="1" outlineLevel="1">
      <c r="B559" s="192"/>
      <c r="C559" s="192"/>
      <c r="D559" s="192"/>
      <c r="E559" s="192"/>
      <c r="F559" s="192"/>
      <c r="G559" s="192"/>
      <c r="H559" s="192"/>
      <c r="I559" s="192"/>
      <c r="J559" s="192"/>
      <c r="K559" s="192"/>
      <c r="L559" s="192"/>
      <c r="M559" s="192"/>
      <c r="N559" s="192"/>
      <c r="O559" s="192"/>
      <c r="P559" s="192"/>
      <c r="Q559" s="192"/>
      <c r="R559" s="192"/>
    </row>
    <row r="560" spans="2:57" s="81" customFormat="1" ht="11.25" hidden="1" outlineLevel="1">
      <c r="B560" s="219"/>
      <c r="C560" s="219"/>
      <c r="D560" s="219"/>
      <c r="E560" s="219"/>
      <c r="F560" s="219"/>
      <c r="G560" s="219"/>
      <c r="H560" s="219"/>
      <c r="I560" s="219"/>
      <c r="J560" s="219"/>
      <c r="K560" s="219"/>
      <c r="L560" s="219"/>
      <c r="M560" s="219"/>
      <c r="N560" s="219"/>
      <c r="O560" s="219"/>
      <c r="P560" s="219"/>
      <c r="Q560" s="219"/>
      <c r="R560" s="219"/>
      <c r="BE560" s="75"/>
    </row>
    <row r="561" spans="2:18" ht="12.75">
      <c r="B561" s="177"/>
      <c r="C561" s="177"/>
      <c r="D561" s="177"/>
      <c r="E561" s="177"/>
      <c r="F561" s="177"/>
      <c r="G561" s="177"/>
      <c r="H561" s="177"/>
      <c r="I561" s="177"/>
      <c r="J561" s="177"/>
      <c r="K561" s="177"/>
      <c r="L561" s="177"/>
      <c r="M561" s="177"/>
      <c r="N561" s="177"/>
      <c r="O561" s="177"/>
      <c r="P561" s="177"/>
      <c r="Q561" s="177"/>
      <c r="R561" s="177"/>
    </row>
    <row r="562" spans="2:57" ht="18">
      <c r="B562" s="197" t="s">
        <v>595</v>
      </c>
      <c r="C562" s="177"/>
      <c r="D562" s="177"/>
      <c r="E562" s="177"/>
      <c r="F562" s="177"/>
      <c r="G562" s="177"/>
      <c r="H562" s="177"/>
      <c r="I562" s="177"/>
      <c r="J562" s="177"/>
      <c r="K562" s="177"/>
      <c r="L562" s="177"/>
      <c r="M562" s="177"/>
      <c r="N562" s="177"/>
      <c r="O562" s="177"/>
      <c r="P562" s="177"/>
      <c r="Q562" s="177"/>
      <c r="R562" s="177"/>
      <c r="BE562" s="71"/>
    </row>
    <row r="563" spans="2:18" ht="12.75">
      <c r="B563" s="177"/>
      <c r="C563" s="177"/>
      <c r="D563" s="177"/>
      <c r="E563" s="177"/>
      <c r="F563" s="177"/>
      <c r="G563" s="177"/>
      <c r="H563" s="177"/>
      <c r="I563" s="177"/>
      <c r="J563" s="177"/>
      <c r="K563" s="177"/>
      <c r="L563" s="177"/>
      <c r="M563" s="177"/>
      <c r="N563" s="177"/>
      <c r="O563" s="177"/>
      <c r="P563" s="177"/>
      <c r="Q563" s="177"/>
      <c r="R563" s="177"/>
    </row>
    <row r="564" spans="2:57" ht="12.75" hidden="1" outlineLevel="1">
      <c r="B564" s="177"/>
      <c r="C564" s="198" t="s">
        <v>519</v>
      </c>
      <c r="D564" s="177"/>
      <c r="E564" s="177"/>
      <c r="F564" s="177"/>
      <c r="G564" s="177"/>
      <c r="H564" s="177"/>
      <c r="I564" s="177"/>
      <c r="J564" s="177"/>
      <c r="K564" s="177"/>
      <c r="L564" s="177"/>
      <c r="M564" s="177"/>
      <c r="N564" s="177"/>
      <c r="O564" s="177"/>
      <c r="P564" s="177"/>
      <c r="Q564" s="177"/>
      <c r="R564" s="177"/>
      <c r="BE564" s="75"/>
    </row>
    <row r="565" spans="2:18" s="80" customFormat="1" ht="8.25" hidden="1" outlineLevel="2">
      <c r="B565" s="199"/>
      <c r="C565" s="199"/>
      <c r="D565" s="199"/>
      <c r="E565" s="199"/>
      <c r="F565" s="199"/>
      <c r="G565" s="199"/>
      <c r="H565" s="199"/>
      <c r="I565" s="199"/>
      <c r="J565" s="199"/>
      <c r="K565" s="199"/>
      <c r="L565" s="199"/>
      <c r="M565" s="199"/>
      <c r="N565" s="199"/>
      <c r="O565" s="199"/>
      <c r="P565" s="199"/>
      <c r="Q565" s="199"/>
      <c r="R565" s="199"/>
    </row>
    <row r="566" spans="2:57" ht="12.75" hidden="1" outlineLevel="2">
      <c r="B566" s="177"/>
      <c r="C566" s="200" t="s">
        <v>266</v>
      </c>
      <c r="D566" s="202"/>
      <c r="E566" s="202"/>
      <c r="F566" s="202"/>
      <c r="G566" s="202"/>
      <c r="H566" s="202"/>
      <c r="I566" s="202"/>
      <c r="J566" s="202"/>
      <c r="K566" s="202"/>
      <c r="L566" s="202"/>
      <c r="M566" s="202"/>
      <c r="N566" s="202"/>
      <c r="O566" s="202"/>
      <c r="P566" s="202"/>
      <c r="Q566" s="177"/>
      <c r="R566" s="177"/>
      <c r="BE566" s="71"/>
    </row>
    <row r="567" spans="2:18" s="71" customFormat="1" ht="6.75" hidden="1" outlineLevel="2">
      <c r="B567" s="187"/>
      <c r="C567" s="187"/>
      <c r="D567" s="187"/>
      <c r="E567" s="187"/>
      <c r="F567" s="187"/>
      <c r="G567" s="187"/>
      <c r="H567" s="187"/>
      <c r="I567" s="187"/>
      <c r="J567" s="187"/>
      <c r="K567" s="187"/>
      <c r="L567" s="187"/>
      <c r="M567" s="187"/>
      <c r="N567" s="187"/>
      <c r="O567" s="187"/>
      <c r="P567" s="187"/>
      <c r="Q567" s="187"/>
      <c r="R567" s="187"/>
    </row>
    <row r="568" spans="2:57" ht="12.75" hidden="1" outlineLevel="2">
      <c r="B568" s="177"/>
      <c r="C568" s="328" t="s">
        <v>265</v>
      </c>
      <c r="D568" s="333"/>
      <c r="E568" s="329"/>
      <c r="F568" s="202"/>
      <c r="G568" s="225"/>
      <c r="H568" s="202"/>
      <c r="I568" s="202"/>
      <c r="J568" s="202"/>
      <c r="K568" s="202"/>
      <c r="L568" s="202"/>
      <c r="M568" s="202"/>
      <c r="N568" s="202"/>
      <c r="O568" s="202"/>
      <c r="P568" s="202"/>
      <c r="Q568" s="177"/>
      <c r="R568" s="177"/>
      <c r="BE568" s="75"/>
    </row>
    <row r="569" spans="2:18" s="81" customFormat="1" ht="11.25" hidden="1" outlineLevel="2">
      <c r="B569" s="219"/>
      <c r="C569" s="233"/>
      <c r="D569" s="233"/>
      <c r="E569" s="233"/>
      <c r="F569" s="219"/>
      <c r="G569" s="234"/>
      <c r="H569" s="219"/>
      <c r="I569" s="219"/>
      <c r="J569" s="219"/>
      <c r="K569" s="219"/>
      <c r="L569" s="219"/>
      <c r="M569" s="219"/>
      <c r="N569" s="219"/>
      <c r="O569" s="219"/>
      <c r="P569" s="219"/>
      <c r="Q569" s="219"/>
      <c r="R569" s="219"/>
    </row>
    <row r="570" spans="2:18" ht="12.75" hidden="1" outlineLevel="2">
      <c r="B570" s="177"/>
      <c r="C570" s="243" t="s">
        <v>386</v>
      </c>
      <c r="D570" s="177"/>
      <c r="E570" s="177"/>
      <c r="F570" s="177"/>
      <c r="G570" s="210" t="s">
        <v>316</v>
      </c>
      <c r="H570" s="177"/>
      <c r="I570" s="210" t="s">
        <v>260</v>
      </c>
      <c r="J570" s="177"/>
      <c r="K570" s="177"/>
      <c r="L570" s="210" t="s">
        <v>317</v>
      </c>
      <c r="M570" s="177"/>
      <c r="N570" s="177"/>
      <c r="O570" s="210" t="str">
        <f>IF(C568="Zelf details invoeren","Boorwerk d.m.v."," ")</f>
        <v> </v>
      </c>
      <c r="P570" s="177"/>
      <c r="Q570" s="177"/>
      <c r="R570" s="177"/>
    </row>
    <row r="571" spans="2:18" s="71" customFormat="1" ht="6.75" hidden="1" outlineLevel="2">
      <c r="B571" s="187"/>
      <c r="C571" s="187"/>
      <c r="D571" s="187"/>
      <c r="E571" s="187"/>
      <c r="F571" s="187"/>
      <c r="G571" s="187"/>
      <c r="H571" s="187"/>
      <c r="I571" s="187"/>
      <c r="J571" s="187"/>
      <c r="K571" s="187"/>
      <c r="L571" s="187"/>
      <c r="M571" s="187"/>
      <c r="N571" s="187"/>
      <c r="O571" s="187"/>
      <c r="P571" s="187"/>
      <c r="Q571" s="187"/>
      <c r="R571" s="187"/>
    </row>
    <row r="572" spans="2:18" ht="12.75" hidden="1" outlineLevel="2">
      <c r="B572" s="177"/>
      <c r="C572" s="223" t="s">
        <v>315</v>
      </c>
      <c r="D572" s="177"/>
      <c r="E572" s="309"/>
      <c r="F572" s="188" t="s">
        <v>270</v>
      </c>
      <c r="G572" s="309"/>
      <c r="H572" s="188" t="s">
        <v>259</v>
      </c>
      <c r="I572" s="328" t="s">
        <v>265</v>
      </c>
      <c r="J572" s="329"/>
      <c r="K572" s="177"/>
      <c r="L572" s="328" t="s">
        <v>265</v>
      </c>
      <c r="M572" s="329"/>
      <c r="N572" s="177"/>
      <c r="O572" s="332" t="s">
        <v>265</v>
      </c>
      <c r="P572" s="332"/>
      <c r="Q572" s="177"/>
      <c r="R572" s="177"/>
    </row>
    <row r="573" spans="2:18" s="71" customFormat="1" ht="6.75" hidden="1" outlineLevel="2">
      <c r="B573" s="187"/>
      <c r="C573" s="187"/>
      <c r="D573" s="187"/>
      <c r="E573" s="187"/>
      <c r="F573" s="187"/>
      <c r="G573" s="187"/>
      <c r="H573" s="187"/>
      <c r="I573" s="187"/>
      <c r="J573" s="187"/>
      <c r="K573" s="187"/>
      <c r="L573" s="187"/>
      <c r="M573" s="187"/>
      <c r="N573" s="187"/>
      <c r="O573" s="187"/>
      <c r="P573" s="187"/>
      <c r="Q573" s="187"/>
      <c r="R573" s="187"/>
    </row>
    <row r="574" spans="2:57" ht="12.75" hidden="1" outlineLevel="2">
      <c r="B574" s="177"/>
      <c r="C574" s="223" t="s">
        <v>322</v>
      </c>
      <c r="D574" s="177"/>
      <c r="E574" s="309"/>
      <c r="F574" s="188" t="s">
        <v>270</v>
      </c>
      <c r="G574" s="309"/>
      <c r="H574" s="188" t="s">
        <v>259</v>
      </c>
      <c r="I574" s="328" t="s">
        <v>265</v>
      </c>
      <c r="J574" s="329"/>
      <c r="K574" s="177"/>
      <c r="L574" s="328" t="s">
        <v>265</v>
      </c>
      <c r="M574" s="329"/>
      <c r="N574" s="177"/>
      <c r="O574" s="332" t="s">
        <v>265</v>
      </c>
      <c r="P574" s="332"/>
      <c r="Q574" s="177"/>
      <c r="R574" s="177"/>
      <c r="BE574" s="80"/>
    </row>
    <row r="575" spans="2:18" s="71" customFormat="1" ht="6.75" hidden="1" outlineLevel="2">
      <c r="B575" s="187"/>
      <c r="C575" s="187"/>
      <c r="D575" s="187"/>
      <c r="E575" s="187"/>
      <c r="F575" s="187"/>
      <c r="G575" s="187"/>
      <c r="H575" s="187"/>
      <c r="I575" s="187"/>
      <c r="J575" s="187"/>
      <c r="K575" s="187"/>
      <c r="L575" s="187"/>
      <c r="M575" s="187"/>
      <c r="N575" s="187"/>
      <c r="O575" s="187"/>
      <c r="P575" s="187"/>
      <c r="Q575" s="187"/>
      <c r="R575" s="187"/>
    </row>
    <row r="576" spans="2:57" ht="12.75" hidden="1" outlineLevel="2">
      <c r="B576" s="177"/>
      <c r="C576" s="223" t="s">
        <v>323</v>
      </c>
      <c r="D576" s="177"/>
      <c r="E576" s="309"/>
      <c r="F576" s="188" t="s">
        <v>270</v>
      </c>
      <c r="G576" s="309"/>
      <c r="H576" s="188" t="s">
        <v>259</v>
      </c>
      <c r="I576" s="328" t="s">
        <v>265</v>
      </c>
      <c r="J576" s="329"/>
      <c r="K576" s="177"/>
      <c r="L576" s="328" t="s">
        <v>265</v>
      </c>
      <c r="M576" s="329"/>
      <c r="N576" s="177"/>
      <c r="O576" s="332" t="s">
        <v>265</v>
      </c>
      <c r="P576" s="332"/>
      <c r="Q576" s="177"/>
      <c r="R576" s="177"/>
      <c r="BE576" s="71"/>
    </row>
    <row r="577" spans="2:18" s="71" customFormat="1" ht="6.75" hidden="1" outlineLevel="2">
      <c r="B577" s="187"/>
      <c r="C577" s="187"/>
      <c r="D577" s="187"/>
      <c r="E577" s="187"/>
      <c r="F577" s="187"/>
      <c r="G577" s="187"/>
      <c r="H577" s="187"/>
      <c r="I577" s="187"/>
      <c r="J577" s="187"/>
      <c r="K577" s="187"/>
      <c r="L577" s="187"/>
      <c r="M577" s="187"/>
      <c r="N577" s="187"/>
      <c r="O577" s="187"/>
      <c r="P577" s="187"/>
      <c r="Q577" s="187"/>
      <c r="R577" s="187"/>
    </row>
    <row r="578" spans="2:57" ht="12.75" hidden="1" outlineLevel="2">
      <c r="B578" s="177"/>
      <c r="C578" s="223" t="s">
        <v>324</v>
      </c>
      <c r="D578" s="177"/>
      <c r="E578" s="309"/>
      <c r="F578" s="188" t="s">
        <v>270</v>
      </c>
      <c r="G578" s="309"/>
      <c r="H578" s="188" t="s">
        <v>259</v>
      </c>
      <c r="I578" s="328" t="s">
        <v>265</v>
      </c>
      <c r="J578" s="329"/>
      <c r="K578" s="177"/>
      <c r="L578" s="328" t="s">
        <v>265</v>
      </c>
      <c r="M578" s="329"/>
      <c r="N578" s="177"/>
      <c r="O578" s="332" t="s">
        <v>265</v>
      </c>
      <c r="P578" s="332"/>
      <c r="Q578" s="177"/>
      <c r="R578" s="177"/>
      <c r="BE578" s="81"/>
    </row>
    <row r="579" spans="2:18" s="81" customFormat="1" ht="11.25" hidden="1" outlineLevel="2">
      <c r="B579" s="219"/>
      <c r="C579" s="219"/>
      <c r="D579" s="219"/>
      <c r="E579" s="219"/>
      <c r="F579" s="219"/>
      <c r="G579" s="219"/>
      <c r="H579" s="219"/>
      <c r="I579" s="219"/>
      <c r="J579" s="219"/>
      <c r="K579" s="219"/>
      <c r="L579" s="219"/>
      <c r="M579" s="219"/>
      <c r="N579" s="219"/>
      <c r="O579" s="219"/>
      <c r="P579" s="219"/>
      <c r="Q579" s="219"/>
      <c r="R579" s="219"/>
    </row>
    <row r="580" spans="2:57" ht="12.75" hidden="1" outlineLevel="2">
      <c r="B580" s="177"/>
      <c r="C580" s="222" t="s">
        <v>387</v>
      </c>
      <c r="D580" s="177"/>
      <c r="E580" s="177"/>
      <c r="F580" s="177"/>
      <c r="G580" s="210" t="s">
        <v>389</v>
      </c>
      <c r="H580" s="177"/>
      <c r="I580" s="210" t="s">
        <v>390</v>
      </c>
      <c r="J580" s="177"/>
      <c r="K580" s="177"/>
      <c r="L580" s="210" t="s">
        <v>391</v>
      </c>
      <c r="M580" s="177"/>
      <c r="N580" s="177"/>
      <c r="O580" s="177"/>
      <c r="P580" s="177"/>
      <c r="Q580" s="177"/>
      <c r="R580" s="177"/>
      <c r="BE580" s="71"/>
    </row>
    <row r="581" spans="2:18" s="71" customFormat="1" ht="6.75" hidden="1" outlineLevel="2">
      <c r="B581" s="187"/>
      <c r="C581" s="187"/>
      <c r="D581" s="187"/>
      <c r="E581" s="187"/>
      <c r="F581" s="187"/>
      <c r="G581" s="187"/>
      <c r="H581" s="187"/>
      <c r="I581" s="187"/>
      <c r="J581" s="187"/>
      <c r="K581" s="187"/>
      <c r="L581" s="187"/>
      <c r="M581" s="187"/>
      <c r="N581" s="187"/>
      <c r="O581" s="187"/>
      <c r="P581" s="187"/>
      <c r="Q581" s="187"/>
      <c r="R581" s="187"/>
    </row>
    <row r="582" spans="2:57" ht="12.75" hidden="1" outlineLevel="2">
      <c r="B582" s="177"/>
      <c r="C582" s="223" t="s">
        <v>388</v>
      </c>
      <c r="D582" s="177"/>
      <c r="E582" s="141"/>
      <c r="F582" s="188" t="s">
        <v>270</v>
      </c>
      <c r="G582" s="141"/>
      <c r="H582" s="188" t="s">
        <v>259</v>
      </c>
      <c r="I582" s="326" t="s">
        <v>265</v>
      </c>
      <c r="J582" s="327"/>
      <c r="K582" s="177"/>
      <c r="L582" s="326" t="s">
        <v>265</v>
      </c>
      <c r="M582" s="327"/>
      <c r="N582" s="177"/>
      <c r="O582" s="177"/>
      <c r="P582" s="177"/>
      <c r="Q582" s="177"/>
      <c r="R582" s="177"/>
      <c r="BE582" s="71"/>
    </row>
    <row r="583" spans="2:18" s="71" customFormat="1" ht="6.75" hidden="1" outlineLevel="2">
      <c r="B583" s="187"/>
      <c r="C583" s="187"/>
      <c r="D583" s="187"/>
      <c r="E583" s="187"/>
      <c r="F583" s="187"/>
      <c r="G583" s="187"/>
      <c r="H583" s="187"/>
      <c r="I583" s="187"/>
      <c r="J583" s="187"/>
      <c r="K583" s="187"/>
      <c r="L583" s="187"/>
      <c r="M583" s="187"/>
      <c r="N583" s="187"/>
      <c r="O583" s="187"/>
      <c r="P583" s="187"/>
      <c r="Q583" s="187"/>
      <c r="R583" s="187"/>
    </row>
    <row r="584" spans="2:57" ht="12.75" hidden="1" outlineLevel="2">
      <c r="B584" s="177"/>
      <c r="C584" s="223" t="s">
        <v>392</v>
      </c>
      <c r="D584" s="177"/>
      <c r="E584" s="141"/>
      <c r="F584" s="188" t="s">
        <v>270</v>
      </c>
      <c r="G584" s="141"/>
      <c r="H584" s="188" t="s">
        <v>259</v>
      </c>
      <c r="I584" s="324" t="s">
        <v>265</v>
      </c>
      <c r="J584" s="325"/>
      <c r="K584" s="177"/>
      <c r="L584" s="324" t="s">
        <v>265</v>
      </c>
      <c r="M584" s="325"/>
      <c r="N584" s="177"/>
      <c r="O584" s="177"/>
      <c r="P584" s="177"/>
      <c r="Q584" s="177"/>
      <c r="R584" s="177"/>
      <c r="BE584" s="71"/>
    </row>
    <row r="585" spans="2:18" s="71" customFormat="1" ht="6.75" hidden="1" outlineLevel="2">
      <c r="B585" s="187"/>
      <c r="C585" s="187"/>
      <c r="D585" s="187"/>
      <c r="E585" s="187"/>
      <c r="F585" s="187"/>
      <c r="G585" s="187"/>
      <c r="H585" s="187"/>
      <c r="I585" s="187"/>
      <c r="J585" s="187"/>
      <c r="K585" s="187"/>
      <c r="L585" s="187"/>
      <c r="M585" s="187"/>
      <c r="N585" s="187"/>
      <c r="O585" s="187"/>
      <c r="P585" s="187"/>
      <c r="Q585" s="187"/>
      <c r="R585" s="187"/>
    </row>
    <row r="586" spans="2:57" ht="12.75" hidden="1" outlineLevel="2">
      <c r="B586" s="177"/>
      <c r="C586" s="223" t="s">
        <v>393</v>
      </c>
      <c r="D586" s="177"/>
      <c r="E586" s="141"/>
      <c r="F586" s="188" t="s">
        <v>270</v>
      </c>
      <c r="G586" s="141"/>
      <c r="H586" s="188" t="s">
        <v>259</v>
      </c>
      <c r="I586" s="324" t="s">
        <v>265</v>
      </c>
      <c r="J586" s="325"/>
      <c r="K586" s="177"/>
      <c r="L586" s="324" t="s">
        <v>265</v>
      </c>
      <c r="M586" s="325"/>
      <c r="N586" s="177"/>
      <c r="O586" s="177"/>
      <c r="P586" s="177"/>
      <c r="Q586" s="177"/>
      <c r="R586" s="177"/>
      <c r="BE586" s="71"/>
    </row>
    <row r="587" spans="2:18" s="71" customFormat="1" ht="6.75" hidden="1" outlineLevel="2">
      <c r="B587" s="187"/>
      <c r="C587" s="187"/>
      <c r="D587" s="187"/>
      <c r="E587" s="187"/>
      <c r="F587" s="187"/>
      <c r="G587" s="187"/>
      <c r="H587" s="187"/>
      <c r="I587" s="187"/>
      <c r="J587" s="187"/>
      <c r="K587" s="187"/>
      <c r="L587" s="187"/>
      <c r="M587" s="187"/>
      <c r="N587" s="187"/>
      <c r="O587" s="187"/>
      <c r="P587" s="187"/>
      <c r="Q587" s="187"/>
      <c r="R587" s="187"/>
    </row>
    <row r="588" spans="2:57" ht="12.75" hidden="1" outlineLevel="2">
      <c r="B588" s="177"/>
      <c r="C588" s="223" t="s">
        <v>394</v>
      </c>
      <c r="D588" s="177"/>
      <c r="E588" s="141"/>
      <c r="F588" s="188" t="s">
        <v>270</v>
      </c>
      <c r="G588" s="141"/>
      <c r="H588" s="188" t="s">
        <v>259</v>
      </c>
      <c r="I588" s="324" t="s">
        <v>265</v>
      </c>
      <c r="J588" s="325"/>
      <c r="K588" s="177"/>
      <c r="L588" s="324" t="s">
        <v>265</v>
      </c>
      <c r="M588" s="325"/>
      <c r="N588" s="177"/>
      <c r="O588" s="177"/>
      <c r="P588" s="177"/>
      <c r="Q588" s="177"/>
      <c r="R588" s="177"/>
      <c r="BE588" s="81"/>
    </row>
    <row r="589" spans="2:18" s="75" customFormat="1" ht="8.25" hidden="1" outlineLevel="2">
      <c r="B589" s="192"/>
      <c r="C589" s="192"/>
      <c r="D589" s="192"/>
      <c r="E589" s="192"/>
      <c r="F589" s="192"/>
      <c r="G589" s="192"/>
      <c r="H589" s="192"/>
      <c r="I589" s="192"/>
      <c r="J589" s="192"/>
      <c r="K589" s="192"/>
      <c r="L589" s="192"/>
      <c r="M589" s="192"/>
      <c r="N589" s="192"/>
      <c r="O589" s="192"/>
      <c r="P589" s="192"/>
      <c r="Q589" s="192"/>
      <c r="R589" s="192"/>
    </row>
    <row r="590" spans="2:57" s="81" customFormat="1" ht="11.25" hidden="1" outlineLevel="1">
      <c r="B590" s="219"/>
      <c r="C590" s="219"/>
      <c r="D590" s="219"/>
      <c r="E590" s="219"/>
      <c r="F590" s="219"/>
      <c r="G590" s="219"/>
      <c r="H590" s="219"/>
      <c r="I590" s="219"/>
      <c r="J590" s="219"/>
      <c r="K590" s="219"/>
      <c r="L590" s="219"/>
      <c r="M590" s="219"/>
      <c r="N590" s="219"/>
      <c r="O590" s="219"/>
      <c r="P590" s="219"/>
      <c r="Q590" s="219"/>
      <c r="R590" s="219"/>
      <c r="BE590" s="71"/>
    </row>
    <row r="591" spans="2:18" ht="12.75" hidden="1" outlineLevel="1">
      <c r="B591" s="177"/>
      <c r="C591" s="198" t="s">
        <v>521</v>
      </c>
      <c r="D591" s="177"/>
      <c r="E591" s="177"/>
      <c r="F591" s="177"/>
      <c r="G591" s="177"/>
      <c r="H591" s="177"/>
      <c r="I591" s="177"/>
      <c r="J591" s="177"/>
      <c r="K591" s="177"/>
      <c r="L591" s="177"/>
      <c r="M591" s="177"/>
      <c r="N591" s="177"/>
      <c r="O591" s="177"/>
      <c r="P591" s="177"/>
      <c r="Q591" s="177"/>
      <c r="R591" s="177"/>
    </row>
    <row r="592" spans="2:57" s="80" customFormat="1" ht="8.25" hidden="1" outlineLevel="2">
      <c r="B592" s="199"/>
      <c r="C592" s="199"/>
      <c r="D592" s="199"/>
      <c r="E592" s="199"/>
      <c r="F592" s="199"/>
      <c r="G592" s="199"/>
      <c r="H592" s="199"/>
      <c r="I592" s="199"/>
      <c r="J592" s="199"/>
      <c r="K592" s="199"/>
      <c r="L592" s="199"/>
      <c r="M592" s="199"/>
      <c r="N592" s="199"/>
      <c r="O592" s="199"/>
      <c r="P592" s="199"/>
      <c r="Q592" s="199"/>
      <c r="R592" s="199"/>
      <c r="BE592" s="71"/>
    </row>
    <row r="593" spans="2:57" s="77" customFormat="1" ht="12.75" hidden="1" outlineLevel="2">
      <c r="B593" s="202"/>
      <c r="C593" s="200" t="s">
        <v>335</v>
      </c>
      <c r="D593" s="177"/>
      <c r="E593" s="177"/>
      <c r="F593" s="210" t="str">
        <f>IF(C595="Ja","Kies type brandstof"," ")</f>
        <v> </v>
      </c>
      <c r="G593" s="177"/>
      <c r="H593" s="177"/>
      <c r="I593" s="210" t="str">
        <f>IF(C595="Ja","Vermogen aggregraat"," ")</f>
        <v> </v>
      </c>
      <c r="J593" s="177"/>
      <c r="K593" s="202"/>
      <c r="L593" s="202"/>
      <c r="M593" s="202"/>
      <c r="N593" s="202"/>
      <c r="O593" s="202"/>
      <c r="P593" s="202"/>
      <c r="Q593" s="202"/>
      <c r="R593" s="202"/>
      <c r="BE593" s="54"/>
    </row>
    <row r="594" spans="2:18" s="71" customFormat="1" ht="6.75" hidden="1" outlineLevel="2">
      <c r="B594" s="187"/>
      <c r="C594" s="187"/>
      <c r="D594" s="187"/>
      <c r="E594" s="187"/>
      <c r="F594" s="187"/>
      <c r="G594" s="187"/>
      <c r="H594" s="187"/>
      <c r="I594" s="187"/>
      <c r="J594" s="187"/>
      <c r="K594" s="187"/>
      <c r="L594" s="187"/>
      <c r="M594" s="187"/>
      <c r="N594" s="187"/>
      <c r="O594" s="187"/>
      <c r="P594" s="187"/>
      <c r="Q594" s="187"/>
      <c r="R594" s="187"/>
    </row>
    <row r="595" spans="2:57" s="77" customFormat="1" ht="12.75" hidden="1" outlineLevel="2">
      <c r="B595" s="202"/>
      <c r="C595" s="339" t="s">
        <v>265</v>
      </c>
      <c r="D595" s="340"/>
      <c r="E595" s="177"/>
      <c r="F595" s="332" t="s">
        <v>265</v>
      </c>
      <c r="G595" s="332"/>
      <c r="H595" s="188"/>
      <c r="I595" s="332" t="s">
        <v>265</v>
      </c>
      <c r="J595" s="332"/>
      <c r="K595" s="202"/>
      <c r="L595" s="202"/>
      <c r="M595" s="202"/>
      <c r="N595" s="202"/>
      <c r="O595" s="202"/>
      <c r="P595" s="202"/>
      <c r="Q595" s="202"/>
      <c r="R595" s="202"/>
      <c r="BE595" s="54"/>
    </row>
    <row r="596" spans="2:18" s="81" customFormat="1" ht="11.25" hidden="1" outlineLevel="2">
      <c r="B596" s="219"/>
      <c r="C596" s="219"/>
      <c r="D596" s="219"/>
      <c r="E596" s="219"/>
      <c r="F596" s="219"/>
      <c r="G596" s="219"/>
      <c r="H596" s="219"/>
      <c r="I596" s="219"/>
      <c r="J596" s="219"/>
      <c r="K596" s="219"/>
      <c r="L596" s="219"/>
      <c r="M596" s="219"/>
      <c r="N596" s="219"/>
      <c r="O596" s="219"/>
      <c r="P596" s="219"/>
      <c r="Q596" s="219"/>
      <c r="R596" s="219"/>
    </row>
    <row r="597" spans="2:18" ht="12.75" hidden="1" outlineLevel="2">
      <c r="B597" s="177"/>
      <c r="C597" s="222" t="s">
        <v>520</v>
      </c>
      <c r="D597" s="177"/>
      <c r="E597" s="177"/>
      <c r="F597" s="177"/>
      <c r="G597" s="177"/>
      <c r="H597" s="177"/>
      <c r="I597" s="210" t="s">
        <v>255</v>
      </c>
      <c r="J597" s="177"/>
      <c r="K597" s="177"/>
      <c r="L597" s="177"/>
      <c r="M597" s="177"/>
      <c r="N597" s="177"/>
      <c r="O597" s="177"/>
      <c r="P597" s="177"/>
      <c r="Q597" s="177"/>
      <c r="R597" s="177"/>
    </row>
    <row r="598" spans="2:57" s="71" customFormat="1" ht="8.25" hidden="1" outlineLevel="2">
      <c r="B598" s="187"/>
      <c r="C598" s="187"/>
      <c r="D598" s="187"/>
      <c r="E598" s="187"/>
      <c r="F598" s="187"/>
      <c r="G598" s="187"/>
      <c r="H598" s="187"/>
      <c r="I598" s="187"/>
      <c r="J598" s="187"/>
      <c r="K598" s="187"/>
      <c r="L598" s="187"/>
      <c r="M598" s="187"/>
      <c r="N598" s="187"/>
      <c r="O598" s="187"/>
      <c r="P598" s="187"/>
      <c r="Q598" s="187"/>
      <c r="R598" s="187"/>
      <c r="BE598" s="75"/>
    </row>
    <row r="599" spans="2:57" ht="12.75" hidden="1" outlineLevel="2">
      <c r="B599" s="177"/>
      <c r="C599" s="223" t="s">
        <v>522</v>
      </c>
      <c r="D599" s="177"/>
      <c r="E599" s="177"/>
      <c r="F599" s="177"/>
      <c r="G599" s="141"/>
      <c r="H599" s="188" t="s">
        <v>270</v>
      </c>
      <c r="I599" s="177"/>
      <c r="J599" s="177"/>
      <c r="K599" s="177"/>
      <c r="L599" s="177"/>
      <c r="M599" s="177"/>
      <c r="N599" s="177"/>
      <c r="O599" s="177"/>
      <c r="P599" s="177"/>
      <c r="Q599" s="177"/>
      <c r="R599" s="177"/>
      <c r="BE599" s="81"/>
    </row>
    <row r="600" spans="2:18" s="71" customFormat="1" ht="6.75" hidden="1" outlineLevel="2">
      <c r="B600" s="187"/>
      <c r="C600" s="187"/>
      <c r="D600" s="187"/>
      <c r="E600" s="187"/>
      <c r="F600" s="187"/>
      <c r="G600" s="187"/>
      <c r="H600" s="187"/>
      <c r="I600" s="187"/>
      <c r="J600" s="187"/>
      <c r="K600" s="187"/>
      <c r="L600" s="187"/>
      <c r="M600" s="187"/>
      <c r="N600" s="187"/>
      <c r="O600" s="187"/>
      <c r="P600" s="187"/>
      <c r="Q600" s="187"/>
      <c r="R600" s="187"/>
    </row>
    <row r="601" spans="2:57" ht="12.75" hidden="1" outlineLevel="2">
      <c r="B601" s="177"/>
      <c r="C601" s="223" t="s">
        <v>523</v>
      </c>
      <c r="D601" s="177"/>
      <c r="E601" s="177"/>
      <c r="F601" s="177"/>
      <c r="G601" s="141"/>
      <c r="H601" s="188" t="s">
        <v>253</v>
      </c>
      <c r="I601" s="324" t="s">
        <v>265</v>
      </c>
      <c r="J601" s="325"/>
      <c r="K601" s="177"/>
      <c r="L601" s="177"/>
      <c r="M601" s="177"/>
      <c r="N601" s="177"/>
      <c r="O601" s="177"/>
      <c r="P601" s="177"/>
      <c r="Q601" s="177"/>
      <c r="R601" s="177"/>
      <c r="BE601" s="80"/>
    </row>
    <row r="602" spans="2:18" s="75" customFormat="1" ht="8.25" hidden="1" outlineLevel="2">
      <c r="B602" s="192"/>
      <c r="C602" s="192"/>
      <c r="D602" s="192"/>
      <c r="E602" s="192"/>
      <c r="F602" s="192"/>
      <c r="G602" s="192"/>
      <c r="H602" s="192"/>
      <c r="I602" s="192"/>
      <c r="J602" s="192"/>
      <c r="K602" s="192"/>
      <c r="L602" s="192"/>
      <c r="M602" s="192"/>
      <c r="N602" s="192"/>
      <c r="O602" s="192"/>
      <c r="P602" s="192"/>
      <c r="Q602" s="192"/>
      <c r="R602" s="192"/>
    </row>
    <row r="603" spans="2:57" s="77" customFormat="1" ht="12.75" hidden="1" outlineLevel="2">
      <c r="B603" s="202"/>
      <c r="C603" s="222" t="s">
        <v>558</v>
      </c>
      <c r="D603" s="202"/>
      <c r="E603" s="202"/>
      <c r="F603" s="202"/>
      <c r="G603" s="202"/>
      <c r="H603" s="202"/>
      <c r="I603" s="202"/>
      <c r="J603" s="202"/>
      <c r="K603" s="202"/>
      <c r="L603" s="202"/>
      <c r="M603" s="202"/>
      <c r="N603" s="202"/>
      <c r="O603" s="202"/>
      <c r="P603" s="202"/>
      <c r="Q603" s="202"/>
      <c r="R603" s="202"/>
      <c r="BE603" s="71"/>
    </row>
    <row r="604" spans="2:18" s="71" customFormat="1" ht="6.75" hidden="1" outlineLevel="2">
      <c r="B604" s="187"/>
      <c r="C604" s="187"/>
      <c r="D604" s="187"/>
      <c r="E604" s="187"/>
      <c r="F604" s="187"/>
      <c r="G604" s="187"/>
      <c r="H604" s="187"/>
      <c r="I604" s="187"/>
      <c r="J604" s="187"/>
      <c r="K604" s="187"/>
      <c r="L604" s="187"/>
      <c r="M604" s="187"/>
      <c r="N604" s="187"/>
      <c r="O604" s="187"/>
      <c r="P604" s="187"/>
      <c r="Q604" s="187"/>
      <c r="R604" s="187"/>
    </row>
    <row r="605" spans="2:57" ht="12.75" hidden="1" outlineLevel="2">
      <c r="B605" s="177"/>
      <c r="C605" s="200" t="s">
        <v>557</v>
      </c>
      <c r="D605" s="177"/>
      <c r="E605" s="177"/>
      <c r="F605" s="177"/>
      <c r="G605" s="309"/>
      <c r="H605" s="188" t="s">
        <v>256</v>
      </c>
      <c r="I605" s="177"/>
      <c r="J605" s="177"/>
      <c r="K605" s="177"/>
      <c r="L605" s="177"/>
      <c r="M605" s="177"/>
      <c r="N605" s="177"/>
      <c r="O605" s="177"/>
      <c r="P605" s="177"/>
      <c r="Q605" s="177"/>
      <c r="R605" s="177"/>
      <c r="BE605" s="81"/>
    </row>
    <row r="606" spans="2:18" s="71" customFormat="1" ht="6.75" hidden="1" outlineLevel="2">
      <c r="B606" s="187"/>
      <c r="C606" s="187"/>
      <c r="D606" s="187"/>
      <c r="E606" s="187"/>
      <c r="F606" s="187"/>
      <c r="G606" s="187"/>
      <c r="H606" s="187"/>
      <c r="I606" s="187"/>
      <c r="J606" s="187"/>
      <c r="K606" s="187"/>
      <c r="L606" s="187"/>
      <c r="M606" s="187"/>
      <c r="N606" s="187"/>
      <c r="O606" s="187"/>
      <c r="P606" s="187"/>
      <c r="Q606" s="187"/>
      <c r="R606" s="187"/>
    </row>
    <row r="607" spans="2:57" ht="12.75" hidden="1" outlineLevel="2">
      <c r="B607" s="177"/>
      <c r="C607" s="200" t="s">
        <v>556</v>
      </c>
      <c r="D607" s="177"/>
      <c r="E607" s="177"/>
      <c r="F607" s="177"/>
      <c r="G607" s="309"/>
      <c r="H607" s="188" t="s">
        <v>256</v>
      </c>
      <c r="I607" s="177"/>
      <c r="J607" s="177"/>
      <c r="K607" s="177"/>
      <c r="L607" s="177"/>
      <c r="M607" s="177"/>
      <c r="N607" s="177"/>
      <c r="O607" s="177"/>
      <c r="P607" s="177"/>
      <c r="Q607" s="177"/>
      <c r="R607" s="177"/>
      <c r="BE607" s="71"/>
    </row>
    <row r="608" spans="2:18" s="71" customFormat="1" ht="6.75" hidden="1" outlineLevel="2">
      <c r="B608" s="187"/>
      <c r="C608" s="187"/>
      <c r="D608" s="187"/>
      <c r="E608" s="187"/>
      <c r="F608" s="187"/>
      <c r="G608" s="187"/>
      <c r="H608" s="187"/>
      <c r="I608" s="187"/>
      <c r="J608" s="187"/>
      <c r="K608" s="187"/>
      <c r="L608" s="187"/>
      <c r="M608" s="187"/>
      <c r="N608" s="187"/>
      <c r="O608" s="187"/>
      <c r="P608" s="187"/>
      <c r="Q608" s="187"/>
      <c r="R608" s="187"/>
    </row>
    <row r="609" spans="2:57" ht="12.75" hidden="1" outlineLevel="2">
      <c r="B609" s="177"/>
      <c r="C609" s="200" t="s">
        <v>87</v>
      </c>
      <c r="D609" s="177"/>
      <c r="E609" s="177"/>
      <c r="F609" s="177"/>
      <c r="G609" s="309"/>
      <c r="H609" s="188" t="s">
        <v>256</v>
      </c>
      <c r="I609" s="177"/>
      <c r="J609" s="177"/>
      <c r="K609" s="177"/>
      <c r="L609" s="177"/>
      <c r="M609" s="177"/>
      <c r="N609" s="177"/>
      <c r="O609" s="177"/>
      <c r="P609" s="177"/>
      <c r="Q609" s="177"/>
      <c r="R609" s="177"/>
      <c r="BE609" s="71"/>
    </row>
    <row r="610" spans="2:18" s="75" customFormat="1" ht="8.25" hidden="1" outlineLevel="2">
      <c r="B610" s="192"/>
      <c r="C610" s="192"/>
      <c r="D610" s="192"/>
      <c r="E610" s="192"/>
      <c r="F610" s="192"/>
      <c r="G610" s="192"/>
      <c r="H610" s="192"/>
      <c r="I610" s="192"/>
      <c r="J610" s="192"/>
      <c r="K610" s="192"/>
      <c r="L610" s="192"/>
      <c r="M610" s="192"/>
      <c r="N610" s="192"/>
      <c r="O610" s="192"/>
      <c r="P610" s="192"/>
      <c r="Q610" s="192"/>
      <c r="R610" s="192"/>
    </row>
    <row r="611" spans="2:57" s="81" customFormat="1" ht="11.25" hidden="1" outlineLevel="1">
      <c r="B611" s="219"/>
      <c r="C611" s="219"/>
      <c r="D611" s="219"/>
      <c r="E611" s="219"/>
      <c r="F611" s="219"/>
      <c r="G611" s="219"/>
      <c r="H611" s="219"/>
      <c r="I611" s="219"/>
      <c r="J611" s="219"/>
      <c r="K611" s="219"/>
      <c r="L611" s="219"/>
      <c r="M611" s="219"/>
      <c r="N611" s="219"/>
      <c r="O611" s="219"/>
      <c r="P611" s="219"/>
      <c r="Q611" s="219"/>
      <c r="R611" s="219"/>
      <c r="BE611" s="75"/>
    </row>
    <row r="612" spans="2:57" ht="12.75" hidden="1" outlineLevel="1">
      <c r="B612" s="177"/>
      <c r="C612" s="198" t="s">
        <v>334</v>
      </c>
      <c r="D612" s="177"/>
      <c r="E612" s="177"/>
      <c r="F612" s="177"/>
      <c r="G612" s="177"/>
      <c r="H612" s="177"/>
      <c r="I612" s="177"/>
      <c r="J612" s="177"/>
      <c r="K612" s="177"/>
      <c r="L612" s="177"/>
      <c r="M612" s="177"/>
      <c r="N612" s="177"/>
      <c r="O612" s="177"/>
      <c r="P612" s="177"/>
      <c r="Q612" s="177"/>
      <c r="R612" s="177"/>
      <c r="BE612" s="77"/>
    </row>
    <row r="613" spans="2:57" s="80" customFormat="1" ht="8.25" hidden="1" outlineLevel="2">
      <c r="B613" s="199"/>
      <c r="C613" s="199"/>
      <c r="D613" s="199"/>
      <c r="E613" s="199"/>
      <c r="F613" s="199"/>
      <c r="G613" s="199"/>
      <c r="H613" s="199"/>
      <c r="I613" s="199"/>
      <c r="J613" s="199"/>
      <c r="K613" s="199"/>
      <c r="L613" s="199"/>
      <c r="M613" s="199"/>
      <c r="N613" s="199"/>
      <c r="O613" s="199"/>
      <c r="P613" s="199"/>
      <c r="Q613" s="199"/>
      <c r="R613" s="199"/>
      <c r="BE613" s="71"/>
    </row>
    <row r="614" spans="2:18" ht="12.75" hidden="1" outlineLevel="2">
      <c r="B614" s="177"/>
      <c r="C614" s="200" t="s">
        <v>289</v>
      </c>
      <c r="D614" s="177"/>
      <c r="E614" s="177"/>
      <c r="F614" s="177"/>
      <c r="G614" s="177"/>
      <c r="H614" s="177"/>
      <c r="I614" s="177"/>
      <c r="J614" s="177"/>
      <c r="K614" s="177"/>
      <c r="L614" s="177"/>
      <c r="M614" s="177"/>
      <c r="N614" s="177"/>
      <c r="O614" s="177"/>
      <c r="P614" s="177"/>
      <c r="Q614" s="177"/>
      <c r="R614" s="177"/>
    </row>
    <row r="615" spans="2:18" s="71" customFormat="1" ht="6.75" hidden="1" outlineLevel="2">
      <c r="B615" s="187"/>
      <c r="C615" s="187"/>
      <c r="D615" s="187"/>
      <c r="E615" s="187"/>
      <c r="F615" s="187"/>
      <c r="G615" s="187"/>
      <c r="H615" s="187"/>
      <c r="I615" s="187"/>
      <c r="J615" s="187"/>
      <c r="K615" s="187"/>
      <c r="L615" s="187"/>
      <c r="M615" s="187"/>
      <c r="N615" s="187"/>
      <c r="O615" s="187"/>
      <c r="P615" s="187"/>
      <c r="Q615" s="187"/>
      <c r="R615" s="187"/>
    </row>
    <row r="616" spans="2:18" ht="12.75" hidden="1" outlineLevel="2">
      <c r="B616" s="177"/>
      <c r="C616" s="141"/>
      <c r="D616" s="188" t="s">
        <v>254</v>
      </c>
      <c r="E616" s="177"/>
      <c r="F616" s="177"/>
      <c r="G616" s="177"/>
      <c r="H616" s="177"/>
      <c r="I616" s="177"/>
      <c r="J616" s="177"/>
      <c r="K616" s="177"/>
      <c r="L616" s="177"/>
      <c r="M616" s="177"/>
      <c r="N616" s="177"/>
      <c r="O616" s="177"/>
      <c r="P616" s="177"/>
      <c r="Q616" s="177"/>
      <c r="R616" s="177"/>
    </row>
    <row r="617" spans="2:57" s="75" customFormat="1" ht="8.25" hidden="1" outlineLevel="2">
      <c r="B617" s="192"/>
      <c r="C617" s="192"/>
      <c r="D617" s="192"/>
      <c r="E617" s="192"/>
      <c r="F617" s="192"/>
      <c r="G617" s="192"/>
      <c r="H617" s="192"/>
      <c r="I617" s="192"/>
      <c r="J617" s="192"/>
      <c r="K617" s="192"/>
      <c r="L617" s="192"/>
      <c r="M617" s="192"/>
      <c r="N617" s="192"/>
      <c r="O617" s="192"/>
      <c r="P617" s="192"/>
      <c r="Q617" s="192"/>
      <c r="R617" s="192"/>
      <c r="BE617" s="71"/>
    </row>
    <row r="618" spans="2:18" ht="12.75" hidden="1" outlineLevel="2">
      <c r="B618" s="177"/>
      <c r="C618" s="200" t="s">
        <v>305</v>
      </c>
      <c r="D618" s="177"/>
      <c r="E618" s="177"/>
      <c r="F618" s="177"/>
      <c r="G618" s="177"/>
      <c r="H618" s="177"/>
      <c r="I618" s="177"/>
      <c r="J618" s="177"/>
      <c r="K618" s="177"/>
      <c r="L618" s="177"/>
      <c r="M618" s="177"/>
      <c r="N618" s="177"/>
      <c r="O618" s="177"/>
      <c r="P618" s="177"/>
      <c r="Q618" s="177"/>
      <c r="R618" s="177"/>
    </row>
    <row r="619" spans="2:57" s="71" customFormat="1" ht="8.25" hidden="1" outlineLevel="2">
      <c r="B619" s="187"/>
      <c r="C619" s="187"/>
      <c r="D619" s="187"/>
      <c r="E619" s="187"/>
      <c r="F619" s="187"/>
      <c r="G619" s="187"/>
      <c r="H619" s="187"/>
      <c r="I619" s="187"/>
      <c r="J619" s="187"/>
      <c r="K619" s="187"/>
      <c r="L619" s="187"/>
      <c r="M619" s="187"/>
      <c r="N619" s="187"/>
      <c r="O619" s="187"/>
      <c r="P619" s="187"/>
      <c r="Q619" s="187"/>
      <c r="R619" s="187"/>
      <c r="BE619" s="75"/>
    </row>
    <row r="620" spans="2:57" ht="12.75" hidden="1" outlineLevel="2">
      <c r="B620" s="177"/>
      <c r="C620" s="141"/>
      <c r="D620" s="224" t="s">
        <v>257</v>
      </c>
      <c r="E620" s="177"/>
      <c r="F620" s="177"/>
      <c r="G620" s="177"/>
      <c r="H620" s="177"/>
      <c r="I620" s="177"/>
      <c r="J620" s="177"/>
      <c r="K620" s="177"/>
      <c r="L620" s="177"/>
      <c r="M620" s="177"/>
      <c r="N620" s="177"/>
      <c r="O620" s="177"/>
      <c r="P620" s="177"/>
      <c r="Q620" s="177"/>
      <c r="R620" s="177"/>
      <c r="BE620" s="81"/>
    </row>
    <row r="621" spans="2:18" s="75" customFormat="1" ht="8.25" hidden="1" outlineLevel="2">
      <c r="B621" s="192"/>
      <c r="C621" s="192"/>
      <c r="D621" s="192"/>
      <c r="E621" s="192"/>
      <c r="F621" s="192"/>
      <c r="G621" s="192"/>
      <c r="H621" s="192"/>
      <c r="I621" s="192"/>
      <c r="J621" s="192"/>
      <c r="K621" s="192"/>
      <c r="L621" s="192"/>
      <c r="M621" s="192"/>
      <c r="N621" s="192"/>
      <c r="O621" s="192"/>
      <c r="P621" s="192"/>
      <c r="Q621" s="192"/>
      <c r="R621" s="192"/>
    </row>
    <row r="622" spans="2:57" ht="12.75" hidden="1" outlineLevel="2">
      <c r="B622" s="177"/>
      <c r="C622" s="200" t="s">
        <v>306</v>
      </c>
      <c r="D622" s="177"/>
      <c r="E622" s="177"/>
      <c r="F622" s="177"/>
      <c r="G622" s="177"/>
      <c r="H622" s="177"/>
      <c r="I622" s="177"/>
      <c r="J622" s="177"/>
      <c r="K622" s="177"/>
      <c r="L622" s="177"/>
      <c r="M622" s="177"/>
      <c r="N622" s="177"/>
      <c r="O622" s="177"/>
      <c r="P622" s="177"/>
      <c r="Q622" s="177"/>
      <c r="R622" s="177"/>
      <c r="BE622" s="80"/>
    </row>
    <row r="623" spans="2:18" s="71" customFormat="1" ht="6.75" hidden="1" outlineLevel="2">
      <c r="B623" s="187"/>
      <c r="C623" s="187"/>
      <c r="D623" s="187"/>
      <c r="E623" s="187"/>
      <c r="F623" s="187"/>
      <c r="G623" s="187"/>
      <c r="H623" s="187"/>
      <c r="I623" s="187"/>
      <c r="J623" s="187"/>
      <c r="K623" s="187"/>
      <c r="L623" s="187"/>
      <c r="M623" s="187"/>
      <c r="N623" s="187"/>
      <c r="O623" s="187"/>
      <c r="P623" s="187"/>
      <c r="Q623" s="187"/>
      <c r="R623" s="187"/>
    </row>
    <row r="624" spans="2:57" ht="12.75" hidden="1" outlineLevel="2">
      <c r="B624" s="177"/>
      <c r="C624" s="279">
        <f>IF(F624="Vrachtwagen",1/4,IF(F624="Bus / transporter",1/9,IF(F624="Bus met aanhanger",1/7,IF(F624="Personenauto",1/11,0))))</f>
        <v>0</v>
      </c>
      <c r="D624" s="188" t="s">
        <v>307</v>
      </c>
      <c r="E624" s="177"/>
      <c r="F624" s="324" t="s">
        <v>265</v>
      </c>
      <c r="G624" s="325"/>
      <c r="H624" s="224" t="s">
        <v>768</v>
      </c>
      <c r="I624" s="177"/>
      <c r="J624" s="177"/>
      <c r="K624" s="177"/>
      <c r="L624" s="177"/>
      <c r="M624" s="177"/>
      <c r="N624" s="177"/>
      <c r="O624" s="177"/>
      <c r="P624" s="177"/>
      <c r="Q624" s="177"/>
      <c r="R624" s="177"/>
      <c r="BE624" s="71"/>
    </row>
    <row r="625" spans="2:18" s="75" customFormat="1" ht="8.25" hidden="1" outlineLevel="2">
      <c r="B625" s="192"/>
      <c r="C625" s="192"/>
      <c r="D625" s="192"/>
      <c r="E625" s="192"/>
      <c r="F625" s="192"/>
      <c r="G625" s="192"/>
      <c r="H625" s="192"/>
      <c r="I625" s="192"/>
      <c r="J625" s="192"/>
      <c r="K625" s="192"/>
      <c r="L625" s="192"/>
      <c r="M625" s="192"/>
      <c r="N625" s="192"/>
      <c r="O625" s="192"/>
      <c r="P625" s="192"/>
      <c r="Q625" s="192"/>
      <c r="R625" s="192"/>
    </row>
    <row r="626" spans="2:57" ht="12.75" hidden="1" outlineLevel="2">
      <c r="B626" s="177"/>
      <c r="C626" s="200" t="s">
        <v>308</v>
      </c>
      <c r="D626" s="177"/>
      <c r="E626" s="177"/>
      <c r="F626" s="177"/>
      <c r="G626" s="177"/>
      <c r="H626" s="177"/>
      <c r="I626" s="177"/>
      <c r="J626" s="177"/>
      <c r="K626" s="177"/>
      <c r="L626" s="177"/>
      <c r="M626" s="177"/>
      <c r="N626" s="177"/>
      <c r="O626" s="177"/>
      <c r="P626" s="177"/>
      <c r="Q626" s="177"/>
      <c r="R626" s="177"/>
      <c r="BE626" s="75"/>
    </row>
    <row r="627" spans="2:18" s="71" customFormat="1" ht="6.75" hidden="1" outlineLevel="2">
      <c r="B627" s="187"/>
      <c r="C627" s="187"/>
      <c r="D627" s="187"/>
      <c r="E627" s="187"/>
      <c r="F627" s="187"/>
      <c r="G627" s="187"/>
      <c r="H627" s="187"/>
      <c r="I627" s="187"/>
      <c r="J627" s="187"/>
      <c r="K627" s="187"/>
      <c r="L627" s="187"/>
      <c r="M627" s="187"/>
      <c r="N627" s="187"/>
      <c r="O627" s="187"/>
      <c r="P627" s="187"/>
      <c r="Q627" s="187"/>
      <c r="R627" s="187"/>
    </row>
    <row r="628" spans="2:57" ht="12.75" hidden="1" outlineLevel="2">
      <c r="B628" s="177"/>
      <c r="C628" s="324" t="s">
        <v>265</v>
      </c>
      <c r="D628" s="325"/>
      <c r="E628" s="177"/>
      <c r="F628" s="177"/>
      <c r="G628" s="177"/>
      <c r="H628" s="177"/>
      <c r="I628" s="177"/>
      <c r="J628" s="177"/>
      <c r="K628" s="177"/>
      <c r="L628" s="177"/>
      <c r="M628" s="177"/>
      <c r="N628" s="177"/>
      <c r="O628" s="177"/>
      <c r="P628" s="177"/>
      <c r="Q628" s="177"/>
      <c r="R628" s="177"/>
      <c r="BE628" s="71"/>
    </row>
    <row r="629" spans="2:18" s="75" customFormat="1" ht="8.25" hidden="1" outlineLevel="2">
      <c r="B629" s="192"/>
      <c r="C629" s="192"/>
      <c r="D629" s="192"/>
      <c r="E629" s="192"/>
      <c r="F629" s="192"/>
      <c r="G629" s="192"/>
      <c r="H629" s="192"/>
      <c r="I629" s="192"/>
      <c r="J629" s="192"/>
      <c r="K629" s="192"/>
      <c r="L629" s="192"/>
      <c r="M629" s="192"/>
      <c r="N629" s="192"/>
      <c r="O629" s="192"/>
      <c r="P629" s="192"/>
      <c r="Q629" s="192"/>
      <c r="R629" s="192"/>
    </row>
    <row r="630" spans="2:57" s="81" customFormat="1" ht="11.25" hidden="1" outlineLevel="1">
      <c r="B630" s="219"/>
      <c r="C630" s="219"/>
      <c r="D630" s="219"/>
      <c r="E630" s="219"/>
      <c r="F630" s="219"/>
      <c r="G630" s="219"/>
      <c r="H630" s="219"/>
      <c r="I630" s="219"/>
      <c r="J630" s="219"/>
      <c r="K630" s="219"/>
      <c r="L630" s="219"/>
      <c r="M630" s="219"/>
      <c r="N630" s="219"/>
      <c r="O630" s="219"/>
      <c r="P630" s="219"/>
      <c r="Q630" s="219"/>
      <c r="R630" s="219"/>
      <c r="BE630" s="75"/>
    </row>
    <row r="631" spans="2:18" ht="12.75">
      <c r="B631" s="177"/>
      <c r="C631" s="177"/>
      <c r="D631" s="177"/>
      <c r="E631" s="177"/>
      <c r="F631" s="177"/>
      <c r="G631" s="177"/>
      <c r="H631" s="177"/>
      <c r="I631" s="177"/>
      <c r="J631" s="177"/>
      <c r="K631" s="177"/>
      <c r="L631" s="177"/>
      <c r="M631" s="177"/>
      <c r="N631" s="177"/>
      <c r="O631" s="177"/>
      <c r="P631" s="177"/>
      <c r="Q631" s="177"/>
      <c r="R631" s="177"/>
    </row>
    <row r="632" spans="2:57" ht="18">
      <c r="B632" s="197" t="s">
        <v>599</v>
      </c>
      <c r="C632" s="177"/>
      <c r="D632" s="177"/>
      <c r="E632" s="177"/>
      <c r="F632" s="177"/>
      <c r="G632" s="177"/>
      <c r="H632" s="177"/>
      <c r="I632" s="177"/>
      <c r="J632" s="177"/>
      <c r="K632" s="177"/>
      <c r="L632" s="177"/>
      <c r="M632" s="177"/>
      <c r="N632" s="177"/>
      <c r="O632" s="177"/>
      <c r="P632" s="177"/>
      <c r="Q632" s="177"/>
      <c r="R632" s="177"/>
      <c r="BE632" s="71"/>
    </row>
    <row r="633" spans="2:18" ht="12.75">
      <c r="B633" s="177"/>
      <c r="C633" s="177"/>
      <c r="D633" s="177"/>
      <c r="E633" s="177"/>
      <c r="F633" s="177"/>
      <c r="G633" s="177"/>
      <c r="H633" s="177"/>
      <c r="I633" s="177"/>
      <c r="J633" s="177"/>
      <c r="K633" s="177"/>
      <c r="L633" s="177"/>
      <c r="M633" s="177"/>
      <c r="N633" s="177"/>
      <c r="O633" s="177"/>
      <c r="P633" s="177"/>
      <c r="Q633" s="177"/>
      <c r="R633" s="177"/>
    </row>
    <row r="634" spans="2:57" ht="12.75" hidden="1" outlineLevel="1">
      <c r="B634" s="177"/>
      <c r="C634" s="198" t="s">
        <v>559</v>
      </c>
      <c r="D634" s="177"/>
      <c r="E634" s="177"/>
      <c r="F634" s="177"/>
      <c r="G634" s="177"/>
      <c r="H634" s="177"/>
      <c r="I634" s="177"/>
      <c r="J634" s="177"/>
      <c r="K634" s="177"/>
      <c r="L634" s="177"/>
      <c r="M634" s="177"/>
      <c r="N634" s="177"/>
      <c r="O634" s="177"/>
      <c r="P634" s="177"/>
      <c r="Q634" s="177"/>
      <c r="R634" s="177"/>
      <c r="BE634" s="75"/>
    </row>
    <row r="635" spans="2:18" s="80" customFormat="1" ht="8.25" hidden="1" outlineLevel="2">
      <c r="B635" s="199"/>
      <c r="C635" s="199"/>
      <c r="D635" s="199"/>
      <c r="E635" s="199"/>
      <c r="F635" s="199"/>
      <c r="G635" s="199"/>
      <c r="H635" s="199"/>
      <c r="I635" s="199"/>
      <c r="J635" s="199"/>
      <c r="K635" s="199"/>
      <c r="L635" s="199"/>
      <c r="M635" s="199"/>
      <c r="N635" s="199"/>
      <c r="O635" s="199"/>
      <c r="P635" s="199"/>
      <c r="Q635" s="199"/>
      <c r="R635" s="199"/>
    </row>
    <row r="636" spans="2:57" ht="12.75" hidden="1" outlineLevel="2">
      <c r="B636" s="177"/>
      <c r="C636" s="200" t="s">
        <v>266</v>
      </c>
      <c r="D636" s="202"/>
      <c r="E636" s="202"/>
      <c r="F636" s="202"/>
      <c r="G636" s="202"/>
      <c r="H636" s="202"/>
      <c r="I636" s="202"/>
      <c r="J636" s="202"/>
      <c r="K636" s="202"/>
      <c r="L636" s="202"/>
      <c r="M636" s="202"/>
      <c r="N636" s="202"/>
      <c r="O636" s="202"/>
      <c r="P636" s="202"/>
      <c r="Q636" s="177"/>
      <c r="R636" s="177"/>
      <c r="BE636" s="71"/>
    </row>
    <row r="637" spans="2:18" s="71" customFormat="1" ht="6.75" hidden="1" outlineLevel="2">
      <c r="B637" s="187"/>
      <c r="C637" s="187"/>
      <c r="D637" s="187"/>
      <c r="E637" s="187"/>
      <c r="F637" s="187"/>
      <c r="G637" s="187"/>
      <c r="H637" s="187"/>
      <c r="I637" s="187"/>
      <c r="J637" s="187"/>
      <c r="K637" s="187"/>
      <c r="L637" s="187"/>
      <c r="M637" s="187"/>
      <c r="N637" s="187"/>
      <c r="O637" s="187"/>
      <c r="P637" s="187"/>
      <c r="Q637" s="187"/>
      <c r="R637" s="187"/>
    </row>
    <row r="638" spans="2:57" ht="12.75" hidden="1" outlineLevel="2">
      <c r="B638" s="177"/>
      <c r="C638" s="328" t="s">
        <v>265</v>
      </c>
      <c r="D638" s="333"/>
      <c r="E638" s="329"/>
      <c r="F638" s="202"/>
      <c r="G638" s="225"/>
      <c r="H638" s="202"/>
      <c r="I638" s="202"/>
      <c r="J638" s="202"/>
      <c r="K638" s="202"/>
      <c r="L638" s="202"/>
      <c r="M638" s="202"/>
      <c r="N638" s="202"/>
      <c r="O638" s="202"/>
      <c r="P638" s="202"/>
      <c r="Q638" s="177"/>
      <c r="R638" s="177"/>
      <c r="BE638" s="75"/>
    </row>
    <row r="639" spans="2:18" s="81" customFormat="1" ht="11.25" hidden="1" outlineLevel="2">
      <c r="B639" s="219"/>
      <c r="C639" s="233"/>
      <c r="D639" s="233"/>
      <c r="E639" s="233"/>
      <c r="F639" s="219"/>
      <c r="G639" s="234"/>
      <c r="H639" s="219"/>
      <c r="I639" s="219"/>
      <c r="J639" s="219"/>
      <c r="K639" s="219"/>
      <c r="L639" s="219"/>
      <c r="M639" s="219"/>
      <c r="N639" s="219"/>
      <c r="O639" s="219"/>
      <c r="P639" s="219"/>
      <c r="Q639" s="219"/>
      <c r="R639" s="219"/>
    </row>
    <row r="640" spans="2:18" ht="12.75" hidden="1" outlineLevel="2">
      <c r="B640" s="177"/>
      <c r="C640" s="222" t="s">
        <v>386</v>
      </c>
      <c r="D640" s="177"/>
      <c r="E640" s="177"/>
      <c r="F640" s="177"/>
      <c r="G640" s="210" t="s">
        <v>316</v>
      </c>
      <c r="H640" s="177"/>
      <c r="I640" s="210" t="s">
        <v>260</v>
      </c>
      <c r="J640" s="177"/>
      <c r="K640" s="177"/>
      <c r="L640" s="210" t="s">
        <v>317</v>
      </c>
      <c r="M640" s="177"/>
      <c r="N640" s="177"/>
      <c r="O640" s="210" t="str">
        <f>IF(C638="Zelf details invoeren","Boorwerk d.m.v."," ")</f>
        <v> </v>
      </c>
      <c r="P640" s="177"/>
      <c r="Q640" s="177"/>
      <c r="R640" s="177"/>
    </row>
    <row r="641" spans="2:18" s="71" customFormat="1" ht="6.75" hidden="1" outlineLevel="2">
      <c r="B641" s="187"/>
      <c r="C641" s="187"/>
      <c r="D641" s="187"/>
      <c r="E641" s="187"/>
      <c r="F641" s="187"/>
      <c r="G641" s="187"/>
      <c r="H641" s="187"/>
      <c r="I641" s="187"/>
      <c r="J641" s="187"/>
      <c r="K641" s="187"/>
      <c r="L641" s="187"/>
      <c r="M641" s="187"/>
      <c r="N641" s="187"/>
      <c r="O641" s="187"/>
      <c r="P641" s="187"/>
      <c r="Q641" s="187"/>
      <c r="R641" s="187"/>
    </row>
    <row r="642" spans="2:18" ht="12.75" hidden="1" outlineLevel="2">
      <c r="B642" s="177"/>
      <c r="C642" s="223" t="s">
        <v>315</v>
      </c>
      <c r="D642" s="177"/>
      <c r="E642" s="309"/>
      <c r="F642" s="188" t="s">
        <v>270</v>
      </c>
      <c r="G642" s="309"/>
      <c r="H642" s="188" t="s">
        <v>259</v>
      </c>
      <c r="I642" s="328" t="s">
        <v>265</v>
      </c>
      <c r="J642" s="329"/>
      <c r="K642" s="177"/>
      <c r="L642" s="328" t="s">
        <v>265</v>
      </c>
      <c r="M642" s="329"/>
      <c r="N642" s="177"/>
      <c r="O642" s="332" t="s">
        <v>265</v>
      </c>
      <c r="P642" s="332"/>
      <c r="Q642" s="177"/>
      <c r="R642" s="177"/>
    </row>
    <row r="643" spans="2:18" s="71" customFormat="1" ht="6.75" hidden="1" outlineLevel="2">
      <c r="B643" s="187"/>
      <c r="C643" s="187"/>
      <c r="D643" s="187"/>
      <c r="E643" s="187"/>
      <c r="F643" s="187"/>
      <c r="G643" s="187"/>
      <c r="H643" s="187"/>
      <c r="I643" s="187"/>
      <c r="J643" s="187"/>
      <c r="K643" s="187"/>
      <c r="L643" s="187"/>
      <c r="M643" s="187"/>
      <c r="N643" s="187"/>
      <c r="O643" s="187"/>
      <c r="P643" s="187"/>
      <c r="Q643" s="187"/>
      <c r="R643" s="187"/>
    </row>
    <row r="644" spans="2:57" ht="12.75" hidden="1" outlineLevel="2">
      <c r="B644" s="177"/>
      <c r="C644" s="223" t="s">
        <v>322</v>
      </c>
      <c r="D644" s="177"/>
      <c r="E644" s="309"/>
      <c r="F644" s="188" t="s">
        <v>270</v>
      </c>
      <c r="G644" s="309"/>
      <c r="H644" s="188" t="s">
        <v>259</v>
      </c>
      <c r="I644" s="343" t="s">
        <v>265</v>
      </c>
      <c r="J644" s="329"/>
      <c r="K644" s="177"/>
      <c r="L644" s="328" t="s">
        <v>265</v>
      </c>
      <c r="M644" s="329"/>
      <c r="N644" s="177"/>
      <c r="O644" s="332" t="s">
        <v>265</v>
      </c>
      <c r="P644" s="332"/>
      <c r="Q644" s="177"/>
      <c r="R644" s="177"/>
      <c r="BE644" s="80"/>
    </row>
    <row r="645" spans="2:18" s="71" customFormat="1" ht="6.75" hidden="1" outlineLevel="2">
      <c r="B645" s="187"/>
      <c r="C645" s="187"/>
      <c r="D645" s="187"/>
      <c r="E645" s="187"/>
      <c r="F645" s="187"/>
      <c r="G645" s="187"/>
      <c r="H645" s="187"/>
      <c r="I645" s="187"/>
      <c r="J645" s="187"/>
      <c r="K645" s="187"/>
      <c r="L645" s="187"/>
      <c r="M645" s="187"/>
      <c r="N645" s="187"/>
      <c r="O645" s="187"/>
      <c r="P645" s="187"/>
      <c r="Q645" s="187"/>
      <c r="R645" s="187"/>
    </row>
    <row r="646" spans="2:57" ht="12.75" hidden="1" outlineLevel="2">
      <c r="B646" s="177"/>
      <c r="C646" s="223" t="s">
        <v>323</v>
      </c>
      <c r="D646" s="177"/>
      <c r="E646" s="309"/>
      <c r="F646" s="188" t="s">
        <v>270</v>
      </c>
      <c r="G646" s="309"/>
      <c r="H646" s="188" t="s">
        <v>259</v>
      </c>
      <c r="I646" s="328" t="s">
        <v>265</v>
      </c>
      <c r="J646" s="329"/>
      <c r="K646" s="177"/>
      <c r="L646" s="328" t="s">
        <v>265</v>
      </c>
      <c r="M646" s="329"/>
      <c r="N646" s="177"/>
      <c r="O646" s="332" t="s">
        <v>265</v>
      </c>
      <c r="P646" s="332"/>
      <c r="Q646" s="177"/>
      <c r="R646" s="177"/>
      <c r="BE646" s="71"/>
    </row>
    <row r="647" spans="2:18" s="71" customFormat="1" ht="6.75" hidden="1" outlineLevel="2">
      <c r="B647" s="187"/>
      <c r="C647" s="187"/>
      <c r="D647" s="187"/>
      <c r="E647" s="187"/>
      <c r="F647" s="187"/>
      <c r="G647" s="187"/>
      <c r="H647" s="187"/>
      <c r="I647" s="321"/>
      <c r="J647" s="321"/>
      <c r="K647" s="187"/>
      <c r="L647" s="187"/>
      <c r="M647" s="187"/>
      <c r="N647" s="187"/>
      <c r="O647" s="187"/>
      <c r="P647" s="187"/>
      <c r="Q647" s="187"/>
      <c r="R647" s="187"/>
    </row>
    <row r="648" spans="2:57" ht="12.75" hidden="1" outlineLevel="2">
      <c r="B648" s="177"/>
      <c r="C648" s="223" t="s">
        <v>324</v>
      </c>
      <c r="D648" s="177"/>
      <c r="E648" s="309"/>
      <c r="F648" s="188" t="s">
        <v>270</v>
      </c>
      <c r="G648" s="309"/>
      <c r="H648" s="188" t="s">
        <v>259</v>
      </c>
      <c r="I648" s="328" t="s">
        <v>265</v>
      </c>
      <c r="J648" s="329"/>
      <c r="K648" s="177"/>
      <c r="L648" s="343" t="s">
        <v>265</v>
      </c>
      <c r="M648" s="329"/>
      <c r="N648" s="177"/>
      <c r="O648" s="332" t="s">
        <v>265</v>
      </c>
      <c r="P648" s="332"/>
      <c r="Q648" s="177"/>
      <c r="R648" s="177"/>
      <c r="BE648" s="81"/>
    </row>
    <row r="649" spans="2:18" s="80" customFormat="1" ht="8.25" hidden="1" outlineLevel="2">
      <c r="B649" s="199"/>
      <c r="C649" s="199"/>
      <c r="D649" s="199"/>
      <c r="E649" s="199"/>
      <c r="F649" s="199"/>
      <c r="G649" s="199"/>
      <c r="H649" s="199"/>
      <c r="I649" s="199"/>
      <c r="J649" s="199"/>
      <c r="K649" s="199"/>
      <c r="L649" s="199"/>
      <c r="M649" s="199"/>
      <c r="N649" s="199"/>
      <c r="O649" s="199"/>
      <c r="P649" s="199"/>
      <c r="Q649" s="199"/>
      <c r="R649" s="199"/>
    </row>
    <row r="650" spans="2:57" ht="12.75" hidden="1" outlineLevel="2">
      <c r="B650" s="177"/>
      <c r="C650" s="222" t="s">
        <v>387</v>
      </c>
      <c r="D650" s="177"/>
      <c r="E650" s="177"/>
      <c r="F650" s="177"/>
      <c r="G650" s="210" t="s">
        <v>389</v>
      </c>
      <c r="H650" s="177"/>
      <c r="I650" s="210" t="s">
        <v>390</v>
      </c>
      <c r="J650" s="177"/>
      <c r="K650" s="177"/>
      <c r="L650" s="210" t="s">
        <v>391</v>
      </c>
      <c r="M650" s="177"/>
      <c r="N650" s="177"/>
      <c r="O650" s="177"/>
      <c r="P650" s="177"/>
      <c r="Q650" s="177"/>
      <c r="R650" s="177"/>
      <c r="BE650" s="71"/>
    </row>
    <row r="651" spans="2:18" s="71" customFormat="1" ht="6.75" hidden="1" outlineLevel="2">
      <c r="B651" s="187"/>
      <c r="C651" s="187"/>
      <c r="D651" s="187"/>
      <c r="E651" s="187"/>
      <c r="F651" s="187"/>
      <c r="G651" s="187"/>
      <c r="H651" s="187"/>
      <c r="I651" s="187"/>
      <c r="J651" s="187"/>
      <c r="K651" s="187"/>
      <c r="L651" s="187"/>
      <c r="M651" s="187"/>
      <c r="N651" s="187"/>
      <c r="O651" s="187"/>
      <c r="P651" s="187"/>
      <c r="Q651" s="187"/>
      <c r="R651" s="187"/>
    </row>
    <row r="652" spans="2:57" ht="12.75" hidden="1" outlineLevel="2">
      <c r="B652" s="177"/>
      <c r="C652" s="223" t="s">
        <v>388</v>
      </c>
      <c r="D652" s="177"/>
      <c r="E652" s="309"/>
      <c r="F652" s="188" t="s">
        <v>270</v>
      </c>
      <c r="G652" s="309"/>
      <c r="H652" s="188" t="s">
        <v>259</v>
      </c>
      <c r="I652" s="328" t="s">
        <v>265</v>
      </c>
      <c r="J652" s="329"/>
      <c r="K652" s="177"/>
      <c r="L652" s="328" t="s">
        <v>265</v>
      </c>
      <c r="M652" s="329"/>
      <c r="N652" s="177"/>
      <c r="O652" s="177"/>
      <c r="P652" s="177"/>
      <c r="Q652" s="177"/>
      <c r="R652" s="177"/>
      <c r="BE652" s="71"/>
    </row>
    <row r="653" spans="2:18" s="71" customFormat="1" ht="6.75" hidden="1" outlineLevel="2">
      <c r="B653" s="187"/>
      <c r="C653" s="187"/>
      <c r="D653" s="187"/>
      <c r="E653" s="187"/>
      <c r="F653" s="187"/>
      <c r="G653" s="187"/>
      <c r="H653" s="187"/>
      <c r="I653" s="187"/>
      <c r="J653" s="187"/>
      <c r="K653" s="187"/>
      <c r="L653" s="187"/>
      <c r="M653" s="187"/>
      <c r="N653" s="187"/>
      <c r="O653" s="187"/>
      <c r="P653" s="187"/>
      <c r="Q653" s="187"/>
      <c r="R653" s="187"/>
    </row>
    <row r="654" spans="2:57" ht="12.75" hidden="1" outlineLevel="2">
      <c r="B654" s="177"/>
      <c r="C654" s="223" t="s">
        <v>392</v>
      </c>
      <c r="D654" s="177"/>
      <c r="E654" s="309"/>
      <c r="F654" s="188" t="s">
        <v>270</v>
      </c>
      <c r="G654" s="309"/>
      <c r="H654" s="188" t="s">
        <v>259</v>
      </c>
      <c r="I654" s="328" t="s">
        <v>265</v>
      </c>
      <c r="J654" s="329"/>
      <c r="K654" s="177"/>
      <c r="L654" s="328" t="s">
        <v>265</v>
      </c>
      <c r="M654" s="329"/>
      <c r="N654" s="177"/>
      <c r="O654" s="177"/>
      <c r="P654" s="177"/>
      <c r="Q654" s="177"/>
      <c r="R654" s="177"/>
      <c r="BE654" s="71"/>
    </row>
    <row r="655" spans="2:18" s="71" customFormat="1" ht="6.75" hidden="1" outlineLevel="2">
      <c r="B655" s="187"/>
      <c r="C655" s="187"/>
      <c r="D655" s="187"/>
      <c r="E655" s="187"/>
      <c r="F655" s="187"/>
      <c r="G655" s="187"/>
      <c r="H655" s="187"/>
      <c r="I655" s="187"/>
      <c r="J655" s="187"/>
      <c r="K655" s="187"/>
      <c r="L655" s="187"/>
      <c r="M655" s="187"/>
      <c r="N655" s="187"/>
      <c r="O655" s="187"/>
      <c r="P655" s="187"/>
      <c r="Q655" s="187"/>
      <c r="R655" s="187"/>
    </row>
    <row r="656" spans="2:57" ht="12.75" hidden="1" outlineLevel="2">
      <c r="B656" s="177"/>
      <c r="C656" s="223" t="s">
        <v>393</v>
      </c>
      <c r="D656" s="177"/>
      <c r="E656" s="309"/>
      <c r="F656" s="188" t="s">
        <v>270</v>
      </c>
      <c r="G656" s="309"/>
      <c r="H656" s="188" t="s">
        <v>259</v>
      </c>
      <c r="I656" s="328" t="s">
        <v>265</v>
      </c>
      <c r="J656" s="329"/>
      <c r="K656" s="177"/>
      <c r="L656" s="328" t="s">
        <v>265</v>
      </c>
      <c r="M656" s="329"/>
      <c r="N656" s="177"/>
      <c r="O656" s="177"/>
      <c r="P656" s="177"/>
      <c r="Q656" s="177"/>
      <c r="R656" s="177"/>
      <c r="BE656" s="71"/>
    </row>
    <row r="657" spans="2:18" s="71" customFormat="1" ht="6.75" hidden="1" outlineLevel="2">
      <c r="B657" s="187"/>
      <c r="C657" s="187"/>
      <c r="D657" s="187"/>
      <c r="E657" s="187"/>
      <c r="F657" s="187"/>
      <c r="G657" s="187"/>
      <c r="H657" s="187"/>
      <c r="I657" s="187"/>
      <c r="J657" s="187"/>
      <c r="K657" s="187"/>
      <c r="L657" s="187"/>
      <c r="M657" s="187"/>
      <c r="N657" s="187"/>
      <c r="O657" s="187"/>
      <c r="P657" s="187"/>
      <c r="Q657" s="187"/>
      <c r="R657" s="187"/>
    </row>
    <row r="658" spans="2:57" ht="12.75" hidden="1" outlineLevel="2">
      <c r="B658" s="177"/>
      <c r="C658" s="223" t="s">
        <v>394</v>
      </c>
      <c r="D658" s="177"/>
      <c r="E658" s="309"/>
      <c r="F658" s="188" t="s">
        <v>270</v>
      </c>
      <c r="G658" s="309"/>
      <c r="H658" s="188" t="s">
        <v>259</v>
      </c>
      <c r="I658" s="328" t="s">
        <v>265</v>
      </c>
      <c r="J658" s="329"/>
      <c r="K658" s="177"/>
      <c r="L658" s="328" t="s">
        <v>265</v>
      </c>
      <c r="M658" s="329"/>
      <c r="N658" s="177"/>
      <c r="O658" s="177"/>
      <c r="P658" s="177"/>
      <c r="Q658" s="177"/>
      <c r="R658" s="177"/>
      <c r="BE658" s="80"/>
    </row>
    <row r="659" spans="2:18" s="75" customFormat="1" ht="8.25" hidden="1" outlineLevel="2">
      <c r="B659" s="192"/>
      <c r="C659" s="192"/>
      <c r="D659" s="192"/>
      <c r="E659" s="192"/>
      <c r="F659" s="192"/>
      <c r="G659" s="192"/>
      <c r="H659" s="192"/>
      <c r="I659" s="192"/>
      <c r="J659" s="192"/>
      <c r="K659" s="192"/>
      <c r="L659" s="192"/>
      <c r="M659" s="192"/>
      <c r="N659" s="192"/>
      <c r="O659" s="192"/>
      <c r="P659" s="192"/>
      <c r="Q659" s="192"/>
      <c r="R659" s="192"/>
    </row>
    <row r="660" spans="2:57" s="81" customFormat="1" ht="11.25" hidden="1" outlineLevel="1">
      <c r="B660" s="219"/>
      <c r="C660" s="244"/>
      <c r="D660" s="219"/>
      <c r="E660" s="219"/>
      <c r="F660" s="219"/>
      <c r="G660" s="219"/>
      <c r="H660" s="219"/>
      <c r="I660" s="219"/>
      <c r="J660" s="219"/>
      <c r="K660" s="219"/>
      <c r="L660" s="219"/>
      <c r="M660" s="219"/>
      <c r="N660" s="219"/>
      <c r="O660" s="219"/>
      <c r="P660" s="219"/>
      <c r="Q660" s="219"/>
      <c r="R660" s="219"/>
      <c r="BE660" s="71"/>
    </row>
    <row r="661" spans="2:18" ht="12.75" hidden="1" outlineLevel="1">
      <c r="B661" s="177"/>
      <c r="C661" s="198" t="s">
        <v>712</v>
      </c>
      <c r="D661" s="177"/>
      <c r="E661" s="177"/>
      <c r="F661" s="177"/>
      <c r="G661" s="177"/>
      <c r="H661" s="177"/>
      <c r="I661" s="177"/>
      <c r="J661" s="177"/>
      <c r="K661" s="177"/>
      <c r="L661" s="177"/>
      <c r="M661" s="177"/>
      <c r="N661" s="177"/>
      <c r="O661" s="177"/>
      <c r="P661" s="177"/>
      <c r="Q661" s="177"/>
      <c r="R661" s="177"/>
    </row>
    <row r="662" spans="2:57" s="80" customFormat="1" ht="8.25" hidden="1" outlineLevel="2">
      <c r="B662" s="199"/>
      <c r="C662" s="199"/>
      <c r="D662" s="199"/>
      <c r="E662" s="199"/>
      <c r="F662" s="199"/>
      <c r="G662" s="199"/>
      <c r="H662" s="199"/>
      <c r="I662" s="199"/>
      <c r="J662" s="199"/>
      <c r="K662" s="199"/>
      <c r="L662" s="199"/>
      <c r="M662" s="199"/>
      <c r="N662" s="199"/>
      <c r="O662" s="199"/>
      <c r="P662" s="199"/>
      <c r="Q662" s="199"/>
      <c r="R662" s="199"/>
      <c r="BE662" s="71"/>
    </row>
    <row r="663" spans="2:57" s="77" customFormat="1" ht="12.75" hidden="1" outlineLevel="2">
      <c r="B663" s="202"/>
      <c r="C663" s="200" t="s">
        <v>335</v>
      </c>
      <c r="D663" s="177"/>
      <c r="E663" s="177"/>
      <c r="F663" s="210" t="str">
        <f>IF(C665="Ja","Kies type brandstof"," ")</f>
        <v> </v>
      </c>
      <c r="G663" s="177"/>
      <c r="H663" s="177"/>
      <c r="I663" s="210" t="str">
        <f>IF(C665="Ja","Vermogen aggregraat"," ")</f>
        <v> </v>
      </c>
      <c r="J663" s="177"/>
      <c r="K663" s="202"/>
      <c r="L663" s="202"/>
      <c r="M663" s="202"/>
      <c r="N663" s="202"/>
      <c r="O663" s="202"/>
      <c r="P663" s="202"/>
      <c r="Q663" s="202"/>
      <c r="R663" s="202"/>
      <c r="BE663" s="54"/>
    </row>
    <row r="664" spans="2:18" s="71" customFormat="1" ht="6.75" hidden="1" outlineLevel="2">
      <c r="B664" s="187"/>
      <c r="C664" s="187"/>
      <c r="D664" s="187"/>
      <c r="E664" s="187"/>
      <c r="F664" s="187"/>
      <c r="G664" s="187"/>
      <c r="H664" s="187"/>
      <c r="I664" s="187"/>
      <c r="J664" s="187"/>
      <c r="K664" s="187"/>
      <c r="L664" s="187"/>
      <c r="M664" s="187"/>
      <c r="N664" s="187"/>
      <c r="O664" s="187"/>
      <c r="P664" s="187"/>
      <c r="Q664" s="187"/>
      <c r="R664" s="187"/>
    </row>
    <row r="665" spans="2:57" s="77" customFormat="1" ht="12.75" hidden="1" outlineLevel="2">
      <c r="B665" s="202"/>
      <c r="C665" s="337" t="s">
        <v>265</v>
      </c>
      <c r="D665" s="338"/>
      <c r="E665" s="177"/>
      <c r="F665" s="332" t="s">
        <v>265</v>
      </c>
      <c r="G665" s="332"/>
      <c r="H665" s="188"/>
      <c r="I665" s="332" t="s">
        <v>265</v>
      </c>
      <c r="J665" s="332"/>
      <c r="K665" s="202"/>
      <c r="L665" s="202"/>
      <c r="M665" s="202"/>
      <c r="N665" s="202"/>
      <c r="O665" s="202"/>
      <c r="P665" s="202"/>
      <c r="Q665" s="202"/>
      <c r="R665" s="202"/>
      <c r="BE665" s="54"/>
    </row>
    <row r="666" spans="2:18" s="81" customFormat="1" ht="11.25" hidden="1" outlineLevel="2">
      <c r="B666" s="219"/>
      <c r="C666" s="219"/>
      <c r="D666" s="219"/>
      <c r="E666" s="219"/>
      <c r="F666" s="219"/>
      <c r="G666" s="219"/>
      <c r="H666" s="219"/>
      <c r="I666" s="219"/>
      <c r="J666" s="219"/>
      <c r="K666" s="219"/>
      <c r="L666" s="219"/>
      <c r="M666" s="219"/>
      <c r="N666" s="219"/>
      <c r="O666" s="219"/>
      <c r="P666" s="219"/>
      <c r="Q666" s="219"/>
      <c r="R666" s="219"/>
    </row>
    <row r="667" spans="2:18" ht="12.75" hidden="1" outlineLevel="2">
      <c r="B667" s="177"/>
      <c r="C667" s="222" t="s">
        <v>560</v>
      </c>
      <c r="D667" s="177"/>
      <c r="E667" s="177"/>
      <c r="F667" s="177"/>
      <c r="G667" s="177"/>
      <c r="H667" s="177"/>
      <c r="I667" s="177"/>
      <c r="J667" s="210" t="s">
        <v>562</v>
      </c>
      <c r="K667" s="177"/>
      <c r="L667" s="177"/>
      <c r="M667" s="177"/>
      <c r="N667" s="177"/>
      <c r="O667" s="177"/>
      <c r="P667" s="177"/>
      <c r="Q667" s="177"/>
      <c r="R667" s="177"/>
    </row>
    <row r="668" spans="2:57" s="71" customFormat="1" ht="8.25" hidden="1" outlineLevel="2">
      <c r="B668" s="187"/>
      <c r="C668" s="187"/>
      <c r="D668" s="187"/>
      <c r="E668" s="187"/>
      <c r="F668" s="187"/>
      <c r="G668" s="187"/>
      <c r="H668" s="187"/>
      <c r="I668" s="187"/>
      <c r="J668" s="187"/>
      <c r="K668" s="187"/>
      <c r="L668" s="187"/>
      <c r="M668" s="187"/>
      <c r="N668" s="187"/>
      <c r="O668" s="187"/>
      <c r="P668" s="187"/>
      <c r="Q668" s="187"/>
      <c r="R668" s="187"/>
      <c r="BE668" s="75"/>
    </row>
    <row r="669" spans="2:57" ht="12.75" hidden="1" outlineLevel="2">
      <c r="B669" s="177"/>
      <c r="C669" s="223" t="s">
        <v>561</v>
      </c>
      <c r="D669" s="177"/>
      <c r="E669" s="177"/>
      <c r="F669" s="177"/>
      <c r="G669" s="177"/>
      <c r="H669" s="141"/>
      <c r="I669" s="245" t="s">
        <v>270</v>
      </c>
      <c r="J669" s="324" t="s">
        <v>265</v>
      </c>
      <c r="K669" s="325"/>
      <c r="L669" s="177"/>
      <c r="M669" s="177"/>
      <c r="N669" s="177"/>
      <c r="O669" s="177"/>
      <c r="P669" s="177"/>
      <c r="Q669" s="177"/>
      <c r="R669" s="177"/>
      <c r="BE669" s="81"/>
    </row>
    <row r="670" spans="2:18" s="80" customFormat="1" ht="8.25" hidden="1" outlineLevel="2">
      <c r="B670" s="199"/>
      <c r="C670" s="199"/>
      <c r="D670" s="199"/>
      <c r="E670" s="199"/>
      <c r="F670" s="199"/>
      <c r="G670" s="199"/>
      <c r="H670" s="199"/>
      <c r="I670" s="199"/>
      <c r="J670" s="199"/>
      <c r="K670" s="199"/>
      <c r="L670" s="199"/>
      <c r="M670" s="199"/>
      <c r="N670" s="199"/>
      <c r="O670" s="199"/>
      <c r="P670" s="199"/>
      <c r="Q670" s="199"/>
      <c r="R670" s="199"/>
    </row>
    <row r="671" spans="2:57" ht="12.75" hidden="1" outlineLevel="2">
      <c r="B671" s="177"/>
      <c r="C671" s="222" t="s">
        <v>563</v>
      </c>
      <c r="D671" s="177"/>
      <c r="E671" s="177"/>
      <c r="F671" s="177"/>
      <c r="G671" s="177"/>
      <c r="H671" s="177"/>
      <c r="I671" s="177"/>
      <c r="J671" s="210" t="s">
        <v>255</v>
      </c>
      <c r="K671" s="177"/>
      <c r="L671" s="177"/>
      <c r="M671" s="177"/>
      <c r="N671" s="177"/>
      <c r="O671" s="177"/>
      <c r="P671" s="177"/>
      <c r="Q671" s="177"/>
      <c r="R671" s="177"/>
      <c r="BE671" s="80"/>
    </row>
    <row r="672" spans="2:18" s="71" customFormat="1" ht="6.75" hidden="1" outlineLevel="2">
      <c r="B672" s="187"/>
      <c r="C672" s="187"/>
      <c r="D672" s="187"/>
      <c r="E672" s="187"/>
      <c r="F672" s="187"/>
      <c r="G672" s="187"/>
      <c r="H672" s="187"/>
      <c r="I672" s="187"/>
      <c r="J672" s="187"/>
      <c r="K672" s="187"/>
      <c r="L672" s="187"/>
      <c r="M672" s="187"/>
      <c r="N672" s="187"/>
      <c r="O672" s="187"/>
      <c r="P672" s="187"/>
      <c r="Q672" s="187"/>
      <c r="R672" s="187"/>
    </row>
    <row r="673" spans="2:57" ht="12.75" hidden="1" outlineLevel="2">
      <c r="B673" s="177"/>
      <c r="C673" s="223" t="s">
        <v>564</v>
      </c>
      <c r="D673" s="177"/>
      <c r="E673" s="177"/>
      <c r="F673" s="177"/>
      <c r="G673" s="177"/>
      <c r="H673" s="141"/>
      <c r="I673" s="188" t="s">
        <v>253</v>
      </c>
      <c r="J673" s="324" t="s">
        <v>265</v>
      </c>
      <c r="K673" s="325"/>
      <c r="L673" s="177"/>
      <c r="M673" s="177"/>
      <c r="N673" s="177"/>
      <c r="O673" s="177"/>
      <c r="P673" s="177"/>
      <c r="Q673" s="177"/>
      <c r="R673" s="177"/>
      <c r="BE673" s="71"/>
    </row>
    <row r="674" spans="2:18" s="80" customFormat="1" ht="8.25" hidden="1" outlineLevel="2">
      <c r="B674" s="199"/>
      <c r="C674" s="199"/>
      <c r="D674" s="199"/>
      <c r="E674" s="199"/>
      <c r="F674" s="199"/>
      <c r="G674" s="199"/>
      <c r="H674" s="199"/>
      <c r="I674" s="199"/>
      <c r="J674" s="199"/>
      <c r="K674" s="199"/>
      <c r="L674" s="199"/>
      <c r="M674" s="199"/>
      <c r="N674" s="199"/>
      <c r="O674" s="199"/>
      <c r="P674" s="199"/>
      <c r="Q674" s="199"/>
      <c r="R674" s="199"/>
    </row>
    <row r="675" spans="2:57" ht="12.75" hidden="1" outlineLevel="2">
      <c r="B675" s="177"/>
      <c r="C675" s="222" t="s">
        <v>566</v>
      </c>
      <c r="D675" s="177"/>
      <c r="E675" s="177"/>
      <c r="F675" s="177"/>
      <c r="G675" s="177"/>
      <c r="H675" s="177"/>
      <c r="I675" s="177"/>
      <c r="J675" s="177"/>
      <c r="K675" s="177"/>
      <c r="L675" s="177"/>
      <c r="M675" s="177"/>
      <c r="N675" s="177"/>
      <c r="O675" s="177"/>
      <c r="P675" s="177"/>
      <c r="Q675" s="177"/>
      <c r="R675" s="177"/>
      <c r="BE675" s="81"/>
    </row>
    <row r="676" spans="2:18" s="71" customFormat="1" ht="6.75" hidden="1" outlineLevel="2">
      <c r="B676" s="187"/>
      <c r="C676" s="187"/>
      <c r="D676" s="187"/>
      <c r="E676" s="187"/>
      <c r="F676" s="187"/>
      <c r="G676" s="187"/>
      <c r="H676" s="187"/>
      <c r="I676" s="187"/>
      <c r="J676" s="187"/>
      <c r="K676" s="187"/>
      <c r="L676" s="187"/>
      <c r="M676" s="187"/>
      <c r="N676" s="187"/>
      <c r="O676" s="187"/>
      <c r="P676" s="187"/>
      <c r="Q676" s="187"/>
      <c r="R676" s="187"/>
    </row>
    <row r="677" spans="2:57" ht="12.75" hidden="1" outlineLevel="2">
      <c r="B677" s="177"/>
      <c r="C677" s="223" t="s">
        <v>567</v>
      </c>
      <c r="D677" s="177"/>
      <c r="E677" s="141"/>
      <c r="F677" s="188" t="s">
        <v>256</v>
      </c>
      <c r="G677" s="177"/>
      <c r="H677" s="177"/>
      <c r="I677" s="177"/>
      <c r="J677" s="177"/>
      <c r="K677" s="177"/>
      <c r="L677" s="177"/>
      <c r="M677" s="177"/>
      <c r="N677" s="177"/>
      <c r="O677" s="177"/>
      <c r="P677" s="177"/>
      <c r="Q677" s="177"/>
      <c r="R677" s="177"/>
      <c r="BE677" s="71"/>
    </row>
    <row r="678" spans="2:18" s="71" customFormat="1" ht="6.75" hidden="1" outlineLevel="2">
      <c r="B678" s="187"/>
      <c r="C678" s="187"/>
      <c r="D678" s="187"/>
      <c r="E678" s="187"/>
      <c r="F678" s="187"/>
      <c r="G678" s="187"/>
      <c r="H678" s="187"/>
      <c r="I678" s="187"/>
      <c r="J678" s="187"/>
      <c r="K678" s="187"/>
      <c r="L678" s="187"/>
      <c r="M678" s="187"/>
      <c r="N678" s="187"/>
      <c r="O678" s="187"/>
      <c r="P678" s="187"/>
      <c r="Q678" s="187"/>
      <c r="R678" s="187"/>
    </row>
    <row r="679" spans="2:57" ht="12.75" hidden="1" outlineLevel="2">
      <c r="B679" s="177"/>
      <c r="C679" s="223" t="s">
        <v>62</v>
      </c>
      <c r="D679" s="177"/>
      <c r="E679" s="141"/>
      <c r="F679" s="188" t="s">
        <v>256</v>
      </c>
      <c r="G679" s="177"/>
      <c r="H679" s="177"/>
      <c r="I679" s="177"/>
      <c r="J679" s="177"/>
      <c r="K679" s="177"/>
      <c r="L679" s="177"/>
      <c r="M679" s="177"/>
      <c r="N679" s="177"/>
      <c r="O679" s="177"/>
      <c r="P679" s="177"/>
      <c r="Q679" s="177"/>
      <c r="R679" s="177"/>
      <c r="BE679" s="80"/>
    </row>
    <row r="680" spans="2:18" s="71" customFormat="1" ht="6.75" hidden="1" outlineLevel="2">
      <c r="B680" s="187"/>
      <c r="C680" s="187"/>
      <c r="D680" s="187"/>
      <c r="E680" s="187"/>
      <c r="F680" s="187"/>
      <c r="G680" s="187"/>
      <c r="H680" s="187"/>
      <c r="I680" s="187"/>
      <c r="J680" s="187"/>
      <c r="K680" s="187"/>
      <c r="L680" s="187"/>
      <c r="M680" s="187"/>
      <c r="N680" s="187"/>
      <c r="O680" s="187"/>
      <c r="P680" s="187"/>
      <c r="Q680" s="187"/>
      <c r="R680" s="187"/>
    </row>
    <row r="681" spans="2:57" ht="12.75" hidden="1" outlineLevel="2">
      <c r="B681" s="177"/>
      <c r="C681" s="223" t="s">
        <v>568</v>
      </c>
      <c r="D681" s="177"/>
      <c r="E681" s="309"/>
      <c r="F681" s="188" t="s">
        <v>256</v>
      </c>
      <c r="G681" s="177"/>
      <c r="H681" s="177"/>
      <c r="I681" s="177"/>
      <c r="J681" s="177"/>
      <c r="K681" s="177"/>
      <c r="L681" s="177"/>
      <c r="M681" s="177"/>
      <c r="N681" s="177"/>
      <c r="O681" s="177"/>
      <c r="P681" s="177"/>
      <c r="Q681" s="177"/>
      <c r="R681" s="177"/>
      <c r="BE681" s="71"/>
    </row>
    <row r="682" spans="2:18" s="80" customFormat="1" ht="8.25" hidden="1" outlineLevel="2">
      <c r="B682" s="199"/>
      <c r="C682" s="246"/>
      <c r="D682" s="199"/>
      <c r="E682" s="247"/>
      <c r="F682" s="248"/>
      <c r="G682" s="199"/>
      <c r="H682" s="199"/>
      <c r="I682" s="199"/>
      <c r="J682" s="199"/>
      <c r="K682" s="199"/>
      <c r="L682" s="199"/>
      <c r="M682" s="199"/>
      <c r="N682" s="199"/>
      <c r="O682" s="199"/>
      <c r="P682" s="199"/>
      <c r="Q682" s="199"/>
      <c r="R682" s="199"/>
    </row>
    <row r="683" spans="2:57" ht="12.75" hidden="1" outlineLevel="2">
      <c r="B683" s="177"/>
      <c r="C683" s="222" t="s">
        <v>708</v>
      </c>
      <c r="D683" s="177"/>
      <c r="E683" s="144"/>
      <c r="F683" s="188"/>
      <c r="G683" s="177"/>
      <c r="H683" s="177"/>
      <c r="I683" s="177"/>
      <c r="J683" s="177"/>
      <c r="K683" s="177"/>
      <c r="L683" s="177"/>
      <c r="M683" s="177"/>
      <c r="N683" s="177"/>
      <c r="O683" s="177"/>
      <c r="P683" s="177"/>
      <c r="Q683" s="177"/>
      <c r="R683" s="177"/>
      <c r="BE683" s="80"/>
    </row>
    <row r="684" spans="2:18" s="71" customFormat="1" ht="6.75" hidden="1" outlineLevel="2">
      <c r="B684" s="187"/>
      <c r="C684" s="214"/>
      <c r="D684" s="187"/>
      <c r="E684" s="231"/>
      <c r="F684" s="194"/>
      <c r="G684" s="187"/>
      <c r="H684" s="187"/>
      <c r="I684" s="187"/>
      <c r="J684" s="187"/>
      <c r="K684" s="187"/>
      <c r="L684" s="187"/>
      <c r="M684" s="187"/>
      <c r="N684" s="187"/>
      <c r="O684" s="187"/>
      <c r="P684" s="187"/>
      <c r="Q684" s="187"/>
      <c r="R684" s="187"/>
    </row>
    <row r="685" spans="2:57" ht="12.75" hidden="1" outlineLevel="2">
      <c r="B685" s="177"/>
      <c r="C685" s="223" t="s">
        <v>709</v>
      </c>
      <c r="D685" s="177"/>
      <c r="E685" s="141"/>
      <c r="F685" s="188" t="s">
        <v>256</v>
      </c>
      <c r="G685" s="177"/>
      <c r="H685" s="177"/>
      <c r="I685" s="177"/>
      <c r="J685" s="177"/>
      <c r="K685" s="177"/>
      <c r="L685" s="177"/>
      <c r="M685" s="177"/>
      <c r="N685" s="177"/>
      <c r="O685" s="177"/>
      <c r="P685" s="177"/>
      <c r="Q685" s="177"/>
      <c r="R685" s="177"/>
      <c r="BE685" s="71"/>
    </row>
    <row r="686" spans="2:18" s="71" customFormat="1" ht="6.75" hidden="1" outlineLevel="2">
      <c r="B686" s="187"/>
      <c r="C686" s="214"/>
      <c r="D686" s="187"/>
      <c r="E686" s="231"/>
      <c r="F686" s="194"/>
      <c r="G686" s="187"/>
      <c r="H686" s="187"/>
      <c r="I686" s="187"/>
      <c r="J686" s="187"/>
      <c r="K686" s="187"/>
      <c r="L686" s="187"/>
      <c r="M686" s="187"/>
      <c r="N686" s="187"/>
      <c r="O686" s="187"/>
      <c r="P686" s="187"/>
      <c r="Q686" s="187"/>
      <c r="R686" s="187"/>
    </row>
    <row r="687" spans="2:57" ht="12.75" hidden="1" outlineLevel="2">
      <c r="B687" s="177"/>
      <c r="C687" s="223" t="s">
        <v>710</v>
      </c>
      <c r="D687" s="177"/>
      <c r="E687" s="141"/>
      <c r="F687" s="188" t="s">
        <v>256</v>
      </c>
      <c r="G687" s="177"/>
      <c r="H687" s="177"/>
      <c r="I687" s="177"/>
      <c r="J687" s="177"/>
      <c r="K687" s="177"/>
      <c r="L687" s="177"/>
      <c r="M687" s="177"/>
      <c r="N687" s="177"/>
      <c r="O687" s="177"/>
      <c r="P687" s="177"/>
      <c r="Q687" s="177"/>
      <c r="R687" s="177"/>
      <c r="BE687" s="71"/>
    </row>
    <row r="688" spans="2:18" s="71" customFormat="1" ht="6.75" hidden="1" outlineLevel="2">
      <c r="B688" s="187"/>
      <c r="C688" s="214"/>
      <c r="D688" s="187"/>
      <c r="E688" s="231"/>
      <c r="F688" s="194"/>
      <c r="G688" s="187"/>
      <c r="H688" s="187"/>
      <c r="I688" s="187"/>
      <c r="J688" s="187"/>
      <c r="K688" s="187"/>
      <c r="L688" s="187"/>
      <c r="M688" s="187"/>
      <c r="N688" s="187"/>
      <c r="O688" s="187"/>
      <c r="P688" s="187"/>
      <c r="Q688" s="187"/>
      <c r="R688" s="187"/>
    </row>
    <row r="689" spans="2:57" ht="12.75" hidden="1" outlineLevel="2">
      <c r="B689" s="177"/>
      <c r="C689" s="223" t="s">
        <v>711</v>
      </c>
      <c r="D689" s="177"/>
      <c r="E689" s="141"/>
      <c r="F689" s="188" t="s">
        <v>256</v>
      </c>
      <c r="G689" s="177"/>
      <c r="H689" s="177"/>
      <c r="I689" s="177"/>
      <c r="J689" s="177"/>
      <c r="K689" s="177"/>
      <c r="L689" s="177"/>
      <c r="M689" s="177"/>
      <c r="N689" s="177"/>
      <c r="O689" s="177"/>
      <c r="P689" s="177"/>
      <c r="Q689" s="177"/>
      <c r="R689" s="177"/>
      <c r="BE689" s="71"/>
    </row>
    <row r="690" spans="2:18" s="75" customFormat="1" ht="8.25" hidden="1" outlineLevel="2">
      <c r="B690" s="192"/>
      <c r="C690" s="192"/>
      <c r="D690" s="192"/>
      <c r="E690" s="192"/>
      <c r="F690" s="192"/>
      <c r="G690" s="192"/>
      <c r="H690" s="192"/>
      <c r="I690" s="192"/>
      <c r="J690" s="192"/>
      <c r="K690" s="192"/>
      <c r="L690" s="192"/>
      <c r="M690" s="192"/>
      <c r="N690" s="192"/>
      <c r="O690" s="192"/>
      <c r="P690" s="192"/>
      <c r="Q690" s="192"/>
      <c r="R690" s="192"/>
    </row>
    <row r="691" spans="2:57" s="81" customFormat="1" ht="11.25" hidden="1" outlineLevel="1">
      <c r="B691" s="219"/>
      <c r="C691" s="219"/>
      <c r="D691" s="219"/>
      <c r="E691" s="219"/>
      <c r="F691" s="219"/>
      <c r="G691" s="219"/>
      <c r="H691" s="219"/>
      <c r="I691" s="219"/>
      <c r="J691" s="219"/>
      <c r="K691" s="219"/>
      <c r="L691" s="219"/>
      <c r="M691" s="219"/>
      <c r="N691" s="219"/>
      <c r="O691" s="219"/>
      <c r="P691" s="219"/>
      <c r="Q691" s="219"/>
      <c r="R691" s="219"/>
      <c r="BE691" s="80"/>
    </row>
    <row r="692" spans="2:18" ht="12.75" hidden="1" outlineLevel="1">
      <c r="B692" s="177"/>
      <c r="C692" s="198" t="s">
        <v>334</v>
      </c>
      <c r="D692" s="177"/>
      <c r="E692" s="177"/>
      <c r="F692" s="177"/>
      <c r="G692" s="177"/>
      <c r="H692" s="177"/>
      <c r="I692" s="177"/>
      <c r="J692" s="177"/>
      <c r="K692" s="177"/>
      <c r="L692" s="177"/>
      <c r="M692" s="177"/>
      <c r="N692" s="177"/>
      <c r="O692" s="177"/>
      <c r="P692" s="177"/>
      <c r="Q692" s="177"/>
      <c r="R692" s="177"/>
    </row>
    <row r="693" spans="2:57" s="80" customFormat="1" ht="8.25" hidden="1" outlineLevel="2">
      <c r="B693" s="199"/>
      <c r="C693" s="199"/>
      <c r="D693" s="199"/>
      <c r="E693" s="199"/>
      <c r="F693" s="199"/>
      <c r="G693" s="199"/>
      <c r="H693" s="199"/>
      <c r="I693" s="199"/>
      <c r="J693" s="199"/>
      <c r="K693" s="199"/>
      <c r="L693" s="199"/>
      <c r="M693" s="199"/>
      <c r="N693" s="199"/>
      <c r="O693" s="199"/>
      <c r="P693" s="199"/>
      <c r="Q693" s="199"/>
      <c r="R693" s="199"/>
      <c r="BE693" s="71"/>
    </row>
    <row r="694" spans="2:18" ht="12.75" hidden="1" outlineLevel="2">
      <c r="B694" s="177"/>
      <c r="C694" s="200" t="s">
        <v>289</v>
      </c>
      <c r="D694" s="177"/>
      <c r="E694" s="177"/>
      <c r="F694" s="177"/>
      <c r="G694" s="177"/>
      <c r="H694" s="177"/>
      <c r="I694" s="177"/>
      <c r="J694" s="177"/>
      <c r="K694" s="177"/>
      <c r="L694" s="177"/>
      <c r="M694" s="177"/>
      <c r="N694" s="177"/>
      <c r="O694" s="177"/>
      <c r="P694" s="177"/>
      <c r="Q694" s="177"/>
      <c r="R694" s="177"/>
    </row>
    <row r="695" spans="2:18" s="71" customFormat="1" ht="6.75" hidden="1" outlineLevel="2">
      <c r="B695" s="187"/>
      <c r="C695" s="187"/>
      <c r="D695" s="187"/>
      <c r="E695" s="187"/>
      <c r="F695" s="187"/>
      <c r="G695" s="187"/>
      <c r="H695" s="187"/>
      <c r="I695" s="187"/>
      <c r="J695" s="187"/>
      <c r="K695" s="187"/>
      <c r="L695" s="187"/>
      <c r="M695" s="187"/>
      <c r="N695" s="187"/>
      <c r="O695" s="187"/>
      <c r="P695" s="187"/>
      <c r="Q695" s="187"/>
      <c r="R695" s="187"/>
    </row>
    <row r="696" spans="2:18" ht="12.75" hidden="1" outlineLevel="2">
      <c r="B696" s="177"/>
      <c r="C696" s="141"/>
      <c r="D696" s="188" t="s">
        <v>254</v>
      </c>
      <c r="E696" s="177"/>
      <c r="F696" s="177"/>
      <c r="G696" s="177"/>
      <c r="H696" s="177"/>
      <c r="I696" s="177"/>
      <c r="J696" s="177"/>
      <c r="K696" s="177"/>
      <c r="L696" s="177"/>
      <c r="M696" s="177"/>
      <c r="N696" s="177"/>
      <c r="O696" s="177"/>
      <c r="P696" s="177"/>
      <c r="Q696" s="177"/>
      <c r="R696" s="177"/>
    </row>
    <row r="697" spans="2:57" s="75" customFormat="1" ht="8.25" hidden="1" outlineLevel="2">
      <c r="B697" s="192"/>
      <c r="C697" s="192"/>
      <c r="D697" s="192"/>
      <c r="E697" s="192"/>
      <c r="F697" s="192"/>
      <c r="G697" s="192"/>
      <c r="H697" s="192"/>
      <c r="I697" s="192"/>
      <c r="J697" s="192"/>
      <c r="K697" s="192"/>
      <c r="L697" s="192"/>
      <c r="M697" s="192"/>
      <c r="N697" s="192"/>
      <c r="O697" s="192"/>
      <c r="P697" s="192"/>
      <c r="Q697" s="192"/>
      <c r="R697" s="192"/>
      <c r="BE697" s="71"/>
    </row>
    <row r="698" spans="2:18" ht="12.75" hidden="1" outlineLevel="2">
      <c r="B698" s="177"/>
      <c r="C698" s="200" t="s">
        <v>305</v>
      </c>
      <c r="D698" s="177"/>
      <c r="E698" s="177"/>
      <c r="F698" s="177"/>
      <c r="G698" s="177"/>
      <c r="H698" s="177"/>
      <c r="I698" s="177"/>
      <c r="J698" s="177"/>
      <c r="K698" s="177"/>
      <c r="L698" s="177"/>
      <c r="M698" s="177"/>
      <c r="N698" s="177"/>
      <c r="O698" s="177"/>
      <c r="P698" s="177"/>
      <c r="Q698" s="177"/>
      <c r="R698" s="177"/>
    </row>
    <row r="699" spans="2:57" s="71" customFormat="1" ht="8.25" hidden="1" outlineLevel="2">
      <c r="B699" s="187"/>
      <c r="C699" s="187"/>
      <c r="D699" s="187"/>
      <c r="E699" s="187"/>
      <c r="F699" s="187"/>
      <c r="G699" s="187"/>
      <c r="H699" s="187"/>
      <c r="I699" s="187"/>
      <c r="J699" s="187"/>
      <c r="K699" s="187"/>
      <c r="L699" s="187"/>
      <c r="M699" s="187"/>
      <c r="N699" s="187"/>
      <c r="O699" s="187"/>
      <c r="P699" s="187"/>
      <c r="Q699" s="187"/>
      <c r="R699" s="187"/>
      <c r="BE699" s="75"/>
    </row>
    <row r="700" spans="2:57" ht="12.75" hidden="1" outlineLevel="2">
      <c r="B700" s="177"/>
      <c r="C700" s="141"/>
      <c r="D700" s="224" t="s">
        <v>257</v>
      </c>
      <c r="E700" s="177"/>
      <c r="F700" s="177"/>
      <c r="G700" s="177"/>
      <c r="H700" s="177"/>
      <c r="I700" s="177"/>
      <c r="J700" s="177"/>
      <c r="K700" s="177"/>
      <c r="L700" s="177"/>
      <c r="M700" s="177"/>
      <c r="N700" s="177"/>
      <c r="O700" s="177"/>
      <c r="P700" s="177"/>
      <c r="Q700" s="177"/>
      <c r="R700" s="177"/>
      <c r="BE700" s="81"/>
    </row>
    <row r="701" spans="2:18" s="75" customFormat="1" ht="8.25" hidden="1" outlineLevel="2">
      <c r="B701" s="192"/>
      <c r="C701" s="192"/>
      <c r="D701" s="192"/>
      <c r="E701" s="192"/>
      <c r="F701" s="192"/>
      <c r="G701" s="192"/>
      <c r="H701" s="192"/>
      <c r="I701" s="192"/>
      <c r="J701" s="192"/>
      <c r="K701" s="192"/>
      <c r="L701" s="192"/>
      <c r="M701" s="192"/>
      <c r="N701" s="192"/>
      <c r="O701" s="192"/>
      <c r="P701" s="192"/>
      <c r="Q701" s="192"/>
      <c r="R701" s="192"/>
    </row>
    <row r="702" spans="2:57" ht="12.75" hidden="1" outlineLevel="2">
      <c r="B702" s="177"/>
      <c r="C702" s="200" t="s">
        <v>306</v>
      </c>
      <c r="D702" s="177"/>
      <c r="E702" s="177"/>
      <c r="F702" s="177"/>
      <c r="G702" s="177"/>
      <c r="H702" s="177"/>
      <c r="I702" s="177"/>
      <c r="J702" s="177"/>
      <c r="K702" s="177"/>
      <c r="L702" s="177"/>
      <c r="M702" s="177"/>
      <c r="N702" s="177"/>
      <c r="O702" s="177"/>
      <c r="P702" s="177"/>
      <c r="Q702" s="177"/>
      <c r="R702" s="177"/>
      <c r="BE702" s="80"/>
    </row>
    <row r="703" spans="2:18" s="71" customFormat="1" ht="6.75" hidden="1" outlineLevel="2">
      <c r="B703" s="187"/>
      <c r="C703" s="187"/>
      <c r="D703" s="187"/>
      <c r="E703" s="187"/>
      <c r="F703" s="187"/>
      <c r="G703" s="187"/>
      <c r="H703" s="187"/>
      <c r="I703" s="187"/>
      <c r="J703" s="187"/>
      <c r="K703" s="187"/>
      <c r="L703" s="187"/>
      <c r="M703" s="187"/>
      <c r="N703" s="187"/>
      <c r="O703" s="187"/>
      <c r="P703" s="187"/>
      <c r="Q703" s="187"/>
      <c r="R703" s="187"/>
    </row>
    <row r="704" spans="2:57" ht="12.75" hidden="1" outlineLevel="2">
      <c r="B704" s="177"/>
      <c r="C704" s="279">
        <f>IF(F704="Vrachtwagen",1/4,IF(F704="Bus / transporter",1/9,IF(F704="Bus met aanhanger",1/7,IF(F704="Personenauto",1/11,0))))</f>
        <v>0</v>
      </c>
      <c r="D704" s="188" t="s">
        <v>307</v>
      </c>
      <c r="E704" s="177"/>
      <c r="F704" s="324" t="s">
        <v>265</v>
      </c>
      <c r="G704" s="325"/>
      <c r="H704" s="224" t="s">
        <v>768</v>
      </c>
      <c r="I704" s="177"/>
      <c r="J704" s="177"/>
      <c r="K704" s="177"/>
      <c r="L704" s="177"/>
      <c r="M704" s="177"/>
      <c r="N704" s="177"/>
      <c r="O704" s="177"/>
      <c r="P704" s="177"/>
      <c r="Q704" s="177"/>
      <c r="R704" s="177"/>
      <c r="BE704" s="71"/>
    </row>
    <row r="705" spans="2:18" s="75" customFormat="1" ht="8.25" hidden="1" outlineLevel="2">
      <c r="B705" s="192"/>
      <c r="C705" s="192"/>
      <c r="D705" s="192"/>
      <c r="E705" s="192"/>
      <c r="F705" s="192"/>
      <c r="G705" s="192"/>
      <c r="H705" s="192"/>
      <c r="I705" s="192"/>
      <c r="J705" s="192"/>
      <c r="K705" s="192"/>
      <c r="L705" s="192"/>
      <c r="M705" s="192"/>
      <c r="N705" s="192"/>
      <c r="O705" s="192"/>
      <c r="P705" s="192"/>
      <c r="Q705" s="192"/>
      <c r="R705" s="192"/>
    </row>
    <row r="706" spans="2:57" ht="12.75" hidden="1" outlineLevel="2">
      <c r="B706" s="177"/>
      <c r="C706" s="200" t="s">
        <v>308</v>
      </c>
      <c r="D706" s="177"/>
      <c r="E706" s="177"/>
      <c r="F706" s="177"/>
      <c r="G706" s="177"/>
      <c r="H706" s="177"/>
      <c r="I706" s="177"/>
      <c r="J706" s="177"/>
      <c r="K706" s="177"/>
      <c r="L706" s="177"/>
      <c r="M706" s="177"/>
      <c r="N706" s="177"/>
      <c r="O706" s="177"/>
      <c r="P706" s="177"/>
      <c r="Q706" s="177"/>
      <c r="R706" s="177"/>
      <c r="BE706" s="75"/>
    </row>
    <row r="707" spans="2:18" s="71" customFormat="1" ht="6.75" hidden="1" outlineLevel="2">
      <c r="B707" s="187"/>
      <c r="C707" s="187"/>
      <c r="D707" s="187"/>
      <c r="E707" s="187"/>
      <c r="F707" s="187"/>
      <c r="G707" s="187"/>
      <c r="H707" s="187"/>
      <c r="I707" s="187"/>
      <c r="J707" s="187"/>
      <c r="K707" s="187"/>
      <c r="L707" s="187"/>
      <c r="M707" s="187"/>
      <c r="N707" s="187"/>
      <c r="O707" s="187"/>
      <c r="P707" s="187"/>
      <c r="Q707" s="187"/>
      <c r="R707" s="187"/>
    </row>
    <row r="708" spans="2:57" ht="12.75" hidden="1" outlineLevel="2">
      <c r="B708" s="177"/>
      <c r="C708" s="324" t="s">
        <v>265</v>
      </c>
      <c r="D708" s="325"/>
      <c r="E708" s="177"/>
      <c r="F708" s="177"/>
      <c r="G708" s="177"/>
      <c r="H708" s="177"/>
      <c r="I708" s="177"/>
      <c r="J708" s="177"/>
      <c r="K708" s="177"/>
      <c r="L708" s="177"/>
      <c r="M708" s="177"/>
      <c r="N708" s="177"/>
      <c r="O708" s="177"/>
      <c r="P708" s="177"/>
      <c r="Q708" s="177"/>
      <c r="R708" s="177"/>
      <c r="BE708" s="71"/>
    </row>
    <row r="709" spans="2:18" s="75" customFormat="1" ht="8.25" hidden="1" outlineLevel="2">
      <c r="B709" s="192"/>
      <c r="C709" s="192"/>
      <c r="D709" s="192"/>
      <c r="E709" s="192"/>
      <c r="F709" s="192"/>
      <c r="G709" s="192"/>
      <c r="H709" s="192"/>
      <c r="I709" s="192"/>
      <c r="J709" s="192"/>
      <c r="K709" s="192"/>
      <c r="L709" s="192"/>
      <c r="M709" s="192"/>
      <c r="N709" s="192"/>
      <c r="O709" s="192"/>
      <c r="P709" s="192"/>
      <c r="Q709" s="192"/>
      <c r="R709" s="192"/>
    </row>
    <row r="710" spans="2:57" s="81" customFormat="1" ht="11.25" hidden="1" outlineLevel="1">
      <c r="B710" s="219"/>
      <c r="C710" s="219"/>
      <c r="D710" s="219"/>
      <c r="E710" s="219"/>
      <c r="F710" s="219"/>
      <c r="G710" s="219"/>
      <c r="H710" s="219"/>
      <c r="I710" s="219"/>
      <c r="J710" s="219"/>
      <c r="K710" s="219"/>
      <c r="L710" s="219"/>
      <c r="M710" s="219"/>
      <c r="N710" s="219"/>
      <c r="O710" s="219"/>
      <c r="P710" s="219"/>
      <c r="Q710" s="219"/>
      <c r="R710" s="219"/>
      <c r="BE710" s="75"/>
    </row>
    <row r="711" spans="2:18" ht="12.75">
      <c r="B711" s="177"/>
      <c r="C711" s="177"/>
      <c r="D711" s="177"/>
      <c r="E711" s="177"/>
      <c r="F711" s="177"/>
      <c r="G711" s="177"/>
      <c r="H711" s="177"/>
      <c r="I711" s="177"/>
      <c r="J711" s="177"/>
      <c r="K711" s="177"/>
      <c r="L711" s="177"/>
      <c r="M711" s="177"/>
      <c r="N711" s="177"/>
      <c r="O711" s="177"/>
      <c r="P711" s="177"/>
      <c r="Q711" s="177"/>
      <c r="R711" s="177"/>
    </row>
    <row r="712" spans="2:57" ht="18">
      <c r="B712" s="197" t="s">
        <v>635</v>
      </c>
      <c r="C712" s="177"/>
      <c r="D712" s="177"/>
      <c r="E712" s="177"/>
      <c r="F712" s="177"/>
      <c r="G712" s="177"/>
      <c r="H712" s="177"/>
      <c r="I712" s="177"/>
      <c r="J712" s="177"/>
      <c r="K712" s="177"/>
      <c r="L712" s="177"/>
      <c r="M712" s="177"/>
      <c r="N712" s="177"/>
      <c r="O712" s="177"/>
      <c r="P712" s="177"/>
      <c r="Q712" s="177"/>
      <c r="R712" s="177"/>
      <c r="BE712" s="71"/>
    </row>
    <row r="713" spans="2:18" ht="12.75">
      <c r="B713" s="177"/>
      <c r="C713" s="177"/>
      <c r="D713" s="177"/>
      <c r="E713" s="177"/>
      <c r="F713" s="177"/>
      <c r="G713" s="177"/>
      <c r="H713" s="177"/>
      <c r="I713" s="177"/>
      <c r="J713" s="177"/>
      <c r="K713" s="177"/>
      <c r="L713" s="177"/>
      <c r="M713" s="177"/>
      <c r="N713" s="177"/>
      <c r="O713" s="177"/>
      <c r="P713" s="177"/>
      <c r="Q713" s="177"/>
      <c r="R713" s="177"/>
    </row>
    <row r="714" spans="2:57" ht="12.75" hidden="1" outlineLevel="1">
      <c r="B714" s="177"/>
      <c r="C714" s="198" t="s">
        <v>463</v>
      </c>
      <c r="D714" s="177"/>
      <c r="E714" s="177"/>
      <c r="F714" s="177"/>
      <c r="G714" s="177"/>
      <c r="H714" s="177"/>
      <c r="I714" s="177"/>
      <c r="J714" s="177"/>
      <c r="K714" s="177"/>
      <c r="L714" s="177"/>
      <c r="M714" s="177"/>
      <c r="N714" s="177"/>
      <c r="O714" s="177"/>
      <c r="P714" s="177"/>
      <c r="Q714" s="177"/>
      <c r="R714" s="177"/>
      <c r="BE714" s="75"/>
    </row>
    <row r="715" spans="2:18" s="80" customFormat="1" ht="8.25" hidden="1" outlineLevel="2">
      <c r="B715" s="199"/>
      <c r="C715" s="199"/>
      <c r="D715" s="199"/>
      <c r="E715" s="199"/>
      <c r="F715" s="199"/>
      <c r="G715" s="199"/>
      <c r="H715" s="199"/>
      <c r="I715" s="199"/>
      <c r="J715" s="199"/>
      <c r="K715" s="199"/>
      <c r="L715" s="199"/>
      <c r="M715" s="199"/>
      <c r="N715" s="199"/>
      <c r="O715" s="199"/>
      <c r="P715" s="199"/>
      <c r="Q715" s="199"/>
      <c r="R715" s="199"/>
    </row>
    <row r="716" spans="2:57" ht="12.75" hidden="1" outlineLevel="2">
      <c r="B716" s="177"/>
      <c r="C716" s="200" t="s">
        <v>266</v>
      </c>
      <c r="D716" s="202"/>
      <c r="E716" s="202"/>
      <c r="F716" s="202"/>
      <c r="G716" s="202"/>
      <c r="H716" s="202"/>
      <c r="I716" s="202"/>
      <c r="J716" s="202"/>
      <c r="K716" s="202"/>
      <c r="L716" s="202"/>
      <c r="M716" s="202"/>
      <c r="N716" s="202"/>
      <c r="O716" s="202"/>
      <c r="P716" s="202"/>
      <c r="Q716" s="177"/>
      <c r="R716" s="177"/>
      <c r="BE716" s="71"/>
    </row>
    <row r="717" spans="2:18" s="80" customFormat="1" ht="8.25" hidden="1" outlineLevel="2">
      <c r="B717" s="199"/>
      <c r="C717" s="199"/>
      <c r="D717" s="199"/>
      <c r="E717" s="199"/>
      <c r="F717" s="199"/>
      <c r="G717" s="199"/>
      <c r="H717" s="199"/>
      <c r="I717" s="199"/>
      <c r="J717" s="199"/>
      <c r="K717" s="199"/>
      <c r="L717" s="199"/>
      <c r="M717" s="199"/>
      <c r="N717" s="199"/>
      <c r="O717" s="199"/>
      <c r="P717" s="199"/>
      <c r="Q717" s="199"/>
      <c r="R717" s="199"/>
    </row>
    <row r="718" spans="2:57" ht="12.75" hidden="1" outlineLevel="2">
      <c r="B718" s="177"/>
      <c r="C718" s="326" t="s">
        <v>265</v>
      </c>
      <c r="D718" s="341"/>
      <c r="E718" s="327"/>
      <c r="F718" s="202"/>
      <c r="G718" s="225"/>
      <c r="H718" s="202"/>
      <c r="I718" s="202"/>
      <c r="J718" s="202"/>
      <c r="K718" s="202"/>
      <c r="L718" s="202"/>
      <c r="M718" s="202"/>
      <c r="N718" s="202"/>
      <c r="O718" s="202"/>
      <c r="P718" s="202"/>
      <c r="Q718" s="177"/>
      <c r="R718" s="177"/>
      <c r="BE718" s="75"/>
    </row>
    <row r="719" spans="2:18" s="81" customFormat="1" ht="11.25" hidden="1" outlineLevel="2">
      <c r="B719" s="219"/>
      <c r="C719" s="233"/>
      <c r="D719" s="233"/>
      <c r="E719" s="233"/>
      <c r="F719" s="219"/>
      <c r="G719" s="234"/>
      <c r="H719" s="219"/>
      <c r="I719" s="219"/>
      <c r="J719" s="219"/>
      <c r="K719" s="219"/>
      <c r="L719" s="219"/>
      <c r="M719" s="219"/>
      <c r="N719" s="219"/>
      <c r="O719" s="219"/>
      <c r="P719" s="219"/>
      <c r="Q719" s="219"/>
      <c r="R719" s="219"/>
    </row>
    <row r="720" spans="2:18" ht="12.75" hidden="1" outlineLevel="2">
      <c r="B720" s="177"/>
      <c r="C720" s="222" t="s">
        <v>649</v>
      </c>
      <c r="D720" s="177"/>
      <c r="E720" s="177"/>
      <c r="F720" s="177"/>
      <c r="G720" s="210" t="s">
        <v>316</v>
      </c>
      <c r="H720" s="177"/>
      <c r="I720" s="210" t="s">
        <v>260</v>
      </c>
      <c r="J720" s="177"/>
      <c r="K720" s="177"/>
      <c r="L720" s="210" t="s">
        <v>317</v>
      </c>
      <c r="M720" s="177"/>
      <c r="N720" s="177"/>
      <c r="O720" s="210" t="str">
        <f>IF(C718="Zelf details invoeren","Boorwerk d.m.v."," ")</f>
        <v> </v>
      </c>
      <c r="P720" s="177"/>
      <c r="Q720" s="177"/>
      <c r="R720" s="177"/>
    </row>
    <row r="721" spans="2:18" s="71" customFormat="1" ht="6.75" hidden="1" outlineLevel="2">
      <c r="B721" s="187"/>
      <c r="C721" s="187"/>
      <c r="D721" s="187"/>
      <c r="E721" s="187"/>
      <c r="F721" s="187"/>
      <c r="G721" s="187"/>
      <c r="H721" s="187"/>
      <c r="I721" s="187"/>
      <c r="J721" s="187"/>
      <c r="K721" s="187"/>
      <c r="L721" s="187"/>
      <c r="M721" s="187"/>
      <c r="N721" s="187"/>
      <c r="O721" s="187"/>
      <c r="P721" s="187"/>
      <c r="Q721" s="187"/>
      <c r="R721" s="187"/>
    </row>
    <row r="722" spans="2:18" ht="12.75" hidden="1" outlineLevel="2">
      <c r="B722" s="177"/>
      <c r="C722" s="223" t="s">
        <v>315</v>
      </c>
      <c r="D722" s="177"/>
      <c r="E722" s="141"/>
      <c r="F722" s="188" t="s">
        <v>270</v>
      </c>
      <c r="G722" s="141"/>
      <c r="H722" s="188" t="s">
        <v>259</v>
      </c>
      <c r="I722" s="326" t="s">
        <v>265</v>
      </c>
      <c r="J722" s="327"/>
      <c r="K722" s="177"/>
      <c r="L722" s="326" t="s">
        <v>265</v>
      </c>
      <c r="M722" s="327"/>
      <c r="N722" s="177"/>
      <c r="O722" s="332" t="s">
        <v>265</v>
      </c>
      <c r="P722" s="332"/>
      <c r="Q722" s="177"/>
      <c r="R722" s="177"/>
    </row>
    <row r="723" spans="2:18" s="71" customFormat="1" ht="6.75" hidden="1" outlineLevel="2">
      <c r="B723" s="187"/>
      <c r="C723" s="187"/>
      <c r="D723" s="187"/>
      <c r="E723" s="187"/>
      <c r="F723" s="187"/>
      <c r="G723" s="187"/>
      <c r="H723" s="187"/>
      <c r="I723" s="187"/>
      <c r="J723" s="187"/>
      <c r="K723" s="187"/>
      <c r="L723" s="187"/>
      <c r="M723" s="187"/>
      <c r="N723" s="187"/>
      <c r="O723" s="187"/>
      <c r="P723" s="187"/>
      <c r="Q723" s="187"/>
      <c r="R723" s="187"/>
    </row>
    <row r="724" spans="2:57" ht="12.75" hidden="1" outlineLevel="2">
      <c r="B724" s="177"/>
      <c r="C724" s="223" t="s">
        <v>322</v>
      </c>
      <c r="D724" s="177"/>
      <c r="E724" s="141"/>
      <c r="F724" s="188" t="s">
        <v>270</v>
      </c>
      <c r="G724" s="141"/>
      <c r="H724" s="188" t="s">
        <v>259</v>
      </c>
      <c r="I724" s="331" t="s">
        <v>265</v>
      </c>
      <c r="J724" s="325"/>
      <c r="K724" s="177"/>
      <c r="L724" s="324" t="s">
        <v>265</v>
      </c>
      <c r="M724" s="325"/>
      <c r="N724" s="177"/>
      <c r="O724" s="332" t="s">
        <v>265</v>
      </c>
      <c r="P724" s="332"/>
      <c r="Q724" s="177"/>
      <c r="R724" s="177"/>
      <c r="BE724" s="80"/>
    </row>
    <row r="725" spans="2:18" s="71" customFormat="1" ht="6.75" hidden="1" outlineLevel="2">
      <c r="B725" s="187"/>
      <c r="C725" s="187"/>
      <c r="D725" s="187"/>
      <c r="E725" s="187"/>
      <c r="F725" s="187"/>
      <c r="G725" s="187"/>
      <c r="H725" s="187"/>
      <c r="I725" s="187"/>
      <c r="J725" s="187"/>
      <c r="K725" s="187"/>
      <c r="L725" s="187"/>
      <c r="M725" s="187"/>
      <c r="N725" s="187"/>
      <c r="O725" s="187"/>
      <c r="P725" s="187"/>
      <c r="Q725" s="187"/>
      <c r="R725" s="187"/>
    </row>
    <row r="726" spans="2:18" ht="12.75" hidden="1" outlineLevel="2">
      <c r="B726" s="177"/>
      <c r="C726" s="223" t="s">
        <v>323</v>
      </c>
      <c r="D726" s="177"/>
      <c r="E726" s="141"/>
      <c r="F726" s="188" t="s">
        <v>270</v>
      </c>
      <c r="G726" s="141"/>
      <c r="H726" s="188" t="s">
        <v>259</v>
      </c>
      <c r="I726" s="324" t="s">
        <v>265</v>
      </c>
      <c r="J726" s="325"/>
      <c r="K726" s="177"/>
      <c r="L726" s="324" t="s">
        <v>265</v>
      </c>
      <c r="M726" s="325"/>
      <c r="N726" s="177"/>
      <c r="O726" s="332" t="s">
        <v>265</v>
      </c>
      <c r="P726" s="332"/>
      <c r="Q726" s="177"/>
      <c r="R726" s="177"/>
    </row>
    <row r="727" spans="2:18" s="71" customFormat="1" ht="6.75" hidden="1" outlineLevel="2">
      <c r="B727" s="187"/>
      <c r="C727" s="187"/>
      <c r="D727" s="187"/>
      <c r="E727" s="187"/>
      <c r="F727" s="187"/>
      <c r="G727" s="187"/>
      <c r="H727" s="187"/>
      <c r="I727" s="187"/>
      <c r="J727" s="187"/>
      <c r="K727" s="187"/>
      <c r="L727" s="187"/>
      <c r="M727" s="187"/>
      <c r="N727" s="187"/>
      <c r="O727" s="187"/>
      <c r="P727" s="187"/>
      <c r="Q727" s="187"/>
      <c r="R727" s="187"/>
    </row>
    <row r="728" spans="2:57" ht="12.75" hidden="1" outlineLevel="2">
      <c r="B728" s="177"/>
      <c r="C728" s="223" t="s">
        <v>324</v>
      </c>
      <c r="D728" s="177"/>
      <c r="E728" s="141"/>
      <c r="F728" s="188" t="s">
        <v>270</v>
      </c>
      <c r="G728" s="141"/>
      <c r="H728" s="188" t="s">
        <v>259</v>
      </c>
      <c r="I728" s="324" t="s">
        <v>265</v>
      </c>
      <c r="J728" s="325"/>
      <c r="K728" s="177"/>
      <c r="L728" s="331" t="s">
        <v>265</v>
      </c>
      <c r="M728" s="325"/>
      <c r="N728" s="177"/>
      <c r="O728" s="332" t="s">
        <v>265</v>
      </c>
      <c r="P728" s="332"/>
      <c r="Q728" s="177"/>
      <c r="R728" s="177"/>
      <c r="BE728" s="81"/>
    </row>
    <row r="729" spans="2:18" s="80" customFormat="1" ht="8.25" hidden="1" outlineLevel="2">
      <c r="B729" s="199"/>
      <c r="C729" s="199"/>
      <c r="D729" s="199"/>
      <c r="E729" s="199"/>
      <c r="F729" s="199"/>
      <c r="G729" s="199"/>
      <c r="H729" s="199"/>
      <c r="I729" s="199"/>
      <c r="J729" s="199"/>
      <c r="K729" s="199"/>
      <c r="L729" s="199"/>
      <c r="M729" s="199"/>
      <c r="N729" s="199"/>
      <c r="O729" s="199"/>
      <c r="P729" s="199"/>
      <c r="Q729" s="199"/>
      <c r="R729" s="199"/>
    </row>
    <row r="730" spans="2:57" ht="12.75" hidden="1" outlineLevel="2">
      <c r="B730" s="177"/>
      <c r="C730" s="249" t="s">
        <v>650</v>
      </c>
      <c r="D730" s="235"/>
      <c r="E730" s="235"/>
      <c r="F730" s="235"/>
      <c r="G730" s="210" t="s">
        <v>651</v>
      </c>
      <c r="H730" s="177"/>
      <c r="I730" s="210" t="s">
        <v>642</v>
      </c>
      <c r="J730" s="177"/>
      <c r="K730" s="177"/>
      <c r="L730" s="177"/>
      <c r="M730" s="177"/>
      <c r="N730" s="177"/>
      <c r="O730" s="210" t="str">
        <f>IF(C718="Zelf details invoeren","Boorwerk d.m.v."," ")</f>
        <v> </v>
      </c>
      <c r="P730" s="177"/>
      <c r="Q730" s="177"/>
      <c r="R730" s="177"/>
      <c r="BE730" s="71"/>
    </row>
    <row r="731" spans="2:18" s="71" customFormat="1" ht="6.75" hidden="1" outlineLevel="2">
      <c r="B731" s="187"/>
      <c r="C731" s="187"/>
      <c r="D731" s="187"/>
      <c r="E731" s="187"/>
      <c r="F731" s="187"/>
      <c r="G731" s="187"/>
      <c r="H731" s="187"/>
      <c r="I731" s="187"/>
      <c r="J731" s="187"/>
      <c r="K731" s="187"/>
      <c r="L731" s="187"/>
      <c r="M731" s="187"/>
      <c r="N731" s="187"/>
      <c r="O731" s="187"/>
      <c r="P731" s="187"/>
      <c r="Q731" s="187"/>
      <c r="R731" s="187"/>
    </row>
    <row r="732" spans="2:57" ht="12.75" hidden="1" outlineLevel="2">
      <c r="B732" s="177"/>
      <c r="C732" s="223" t="s">
        <v>315</v>
      </c>
      <c r="D732" s="177"/>
      <c r="E732" s="141"/>
      <c r="F732" s="188" t="s">
        <v>258</v>
      </c>
      <c r="G732" s="141"/>
      <c r="H732" s="188" t="s">
        <v>259</v>
      </c>
      <c r="I732" s="141"/>
      <c r="J732" s="188" t="s">
        <v>270</v>
      </c>
      <c r="K732" s="177"/>
      <c r="L732" s="177"/>
      <c r="M732" s="177"/>
      <c r="N732" s="177"/>
      <c r="O732" s="332" t="s">
        <v>265</v>
      </c>
      <c r="P732" s="332"/>
      <c r="Q732" s="177"/>
      <c r="R732" s="177"/>
      <c r="BE732" s="71"/>
    </row>
    <row r="733" spans="2:18" s="71" customFormat="1" ht="6.75" hidden="1" outlineLevel="2">
      <c r="B733" s="187"/>
      <c r="C733" s="187"/>
      <c r="D733" s="187"/>
      <c r="E733" s="187"/>
      <c r="F733" s="187"/>
      <c r="G733" s="187"/>
      <c r="H733" s="187"/>
      <c r="I733" s="187"/>
      <c r="J733" s="187"/>
      <c r="K733" s="187"/>
      <c r="L733" s="187"/>
      <c r="M733" s="187"/>
      <c r="N733" s="187"/>
      <c r="O733" s="187"/>
      <c r="P733" s="187"/>
      <c r="Q733" s="187"/>
      <c r="R733" s="187"/>
    </row>
    <row r="734" spans="2:57" ht="12.75" hidden="1" outlineLevel="2">
      <c r="B734" s="177"/>
      <c r="C734" s="223" t="s">
        <v>322</v>
      </c>
      <c r="D734" s="177"/>
      <c r="E734" s="141"/>
      <c r="F734" s="188" t="s">
        <v>258</v>
      </c>
      <c r="G734" s="141"/>
      <c r="H734" s="188" t="s">
        <v>259</v>
      </c>
      <c r="I734" s="141"/>
      <c r="J734" s="188" t="s">
        <v>270</v>
      </c>
      <c r="K734" s="177"/>
      <c r="L734" s="177"/>
      <c r="M734" s="177"/>
      <c r="N734" s="177"/>
      <c r="O734" s="332" t="s">
        <v>265</v>
      </c>
      <c r="P734" s="332"/>
      <c r="Q734" s="177"/>
      <c r="R734" s="177"/>
      <c r="BE734" s="71"/>
    </row>
    <row r="735" spans="2:18" s="71" customFormat="1" ht="6.75" hidden="1" outlineLevel="2">
      <c r="B735" s="187"/>
      <c r="C735" s="187"/>
      <c r="D735" s="187"/>
      <c r="E735" s="187"/>
      <c r="F735" s="187"/>
      <c r="G735" s="187"/>
      <c r="H735" s="187"/>
      <c r="I735" s="187"/>
      <c r="J735" s="187"/>
      <c r="K735" s="187"/>
      <c r="L735" s="187"/>
      <c r="M735" s="187"/>
      <c r="N735" s="187"/>
      <c r="O735" s="187"/>
      <c r="P735" s="187"/>
      <c r="Q735" s="187"/>
      <c r="R735" s="187"/>
    </row>
    <row r="736" spans="2:57" ht="12.75" hidden="1" outlineLevel="2">
      <c r="B736" s="177"/>
      <c r="C736" s="223" t="s">
        <v>323</v>
      </c>
      <c r="D736" s="177"/>
      <c r="E736" s="141"/>
      <c r="F736" s="188" t="s">
        <v>258</v>
      </c>
      <c r="G736" s="141"/>
      <c r="H736" s="188" t="s">
        <v>259</v>
      </c>
      <c r="I736" s="141"/>
      <c r="J736" s="188" t="s">
        <v>270</v>
      </c>
      <c r="K736" s="177"/>
      <c r="L736" s="177"/>
      <c r="M736" s="177"/>
      <c r="N736" s="177"/>
      <c r="O736" s="332" t="s">
        <v>265</v>
      </c>
      <c r="P736" s="332"/>
      <c r="Q736" s="177"/>
      <c r="R736" s="177"/>
      <c r="BE736" s="71"/>
    </row>
    <row r="737" spans="2:18" s="71" customFormat="1" ht="6.75" hidden="1" outlineLevel="2">
      <c r="B737" s="187"/>
      <c r="C737" s="187"/>
      <c r="D737" s="187"/>
      <c r="E737" s="187"/>
      <c r="F737" s="187"/>
      <c r="G737" s="187"/>
      <c r="H737" s="187"/>
      <c r="I737" s="187"/>
      <c r="J737" s="187"/>
      <c r="K737" s="187"/>
      <c r="L737" s="187"/>
      <c r="M737" s="187"/>
      <c r="N737" s="187"/>
      <c r="O737" s="187"/>
      <c r="P737" s="187"/>
      <c r="Q737" s="187"/>
      <c r="R737" s="187"/>
    </row>
    <row r="738" spans="2:57" ht="12.75" hidden="1" outlineLevel="2">
      <c r="B738" s="177"/>
      <c r="C738" s="223" t="s">
        <v>324</v>
      </c>
      <c r="D738" s="177"/>
      <c r="E738" s="141"/>
      <c r="F738" s="188" t="s">
        <v>258</v>
      </c>
      <c r="G738" s="141"/>
      <c r="H738" s="188" t="s">
        <v>259</v>
      </c>
      <c r="I738" s="141"/>
      <c r="J738" s="188" t="s">
        <v>270</v>
      </c>
      <c r="K738" s="177"/>
      <c r="L738" s="177"/>
      <c r="M738" s="177"/>
      <c r="N738" s="177"/>
      <c r="O738" s="332" t="s">
        <v>265</v>
      </c>
      <c r="P738" s="332"/>
      <c r="Q738" s="177"/>
      <c r="R738" s="177"/>
      <c r="BE738" s="80"/>
    </row>
    <row r="739" spans="2:18" s="80" customFormat="1" ht="8.25" hidden="1" outlineLevel="2">
      <c r="B739" s="199"/>
      <c r="C739" s="199"/>
      <c r="D739" s="199"/>
      <c r="E739" s="199"/>
      <c r="F739" s="199"/>
      <c r="G739" s="199"/>
      <c r="H739" s="199"/>
      <c r="I739" s="199"/>
      <c r="J739" s="199"/>
      <c r="K739" s="199"/>
      <c r="L739" s="199"/>
      <c r="M739" s="199"/>
      <c r="N739" s="199"/>
      <c r="O739" s="199"/>
      <c r="P739" s="199"/>
      <c r="Q739" s="199"/>
      <c r="R739" s="199"/>
    </row>
    <row r="740" spans="2:57" s="77" customFormat="1" ht="12.75" hidden="1" outlineLevel="2">
      <c r="B740" s="202"/>
      <c r="C740" s="249" t="s">
        <v>652</v>
      </c>
      <c r="D740" s="202"/>
      <c r="E740" s="202"/>
      <c r="F740" s="202"/>
      <c r="G740" s="210" t="s">
        <v>653</v>
      </c>
      <c r="H740" s="177"/>
      <c r="I740" s="202"/>
      <c r="J740" s="202"/>
      <c r="K740" s="202"/>
      <c r="L740" s="202"/>
      <c r="M740" s="202"/>
      <c r="N740" s="202"/>
      <c r="O740" s="210" t="str">
        <f>IF(C718="Zelf details invoeren","Boorwerk d.m.v."," ")</f>
        <v> </v>
      </c>
      <c r="P740" s="177"/>
      <c r="Q740" s="202"/>
      <c r="R740" s="202"/>
      <c r="BE740" s="71"/>
    </row>
    <row r="741" spans="2:18" s="71" customFormat="1" ht="6.75" hidden="1" outlineLevel="2">
      <c r="B741" s="187"/>
      <c r="C741" s="187"/>
      <c r="D741" s="187"/>
      <c r="E741" s="187"/>
      <c r="F741" s="187"/>
      <c r="G741" s="187"/>
      <c r="H741" s="187"/>
      <c r="I741" s="187"/>
      <c r="J741" s="187"/>
      <c r="K741" s="187"/>
      <c r="L741" s="187"/>
      <c r="M741" s="187"/>
      <c r="N741" s="187"/>
      <c r="O741" s="187"/>
      <c r="P741" s="187"/>
      <c r="Q741" s="187"/>
      <c r="R741" s="187"/>
    </row>
    <row r="742" spans="2:57" s="77" customFormat="1" ht="12.75" hidden="1" outlineLevel="2">
      <c r="B742" s="202"/>
      <c r="C742" s="223" t="s">
        <v>315</v>
      </c>
      <c r="D742" s="177"/>
      <c r="E742" s="141"/>
      <c r="F742" s="188" t="s">
        <v>258</v>
      </c>
      <c r="G742" s="141"/>
      <c r="H742" s="188" t="s">
        <v>259</v>
      </c>
      <c r="I742" s="202"/>
      <c r="J742" s="202"/>
      <c r="K742" s="202"/>
      <c r="L742" s="202"/>
      <c r="M742" s="202"/>
      <c r="N742" s="202"/>
      <c r="O742" s="332" t="s">
        <v>265</v>
      </c>
      <c r="P742" s="332"/>
      <c r="Q742" s="202"/>
      <c r="R742" s="202"/>
      <c r="BE742" s="71"/>
    </row>
    <row r="743" spans="2:18" s="71" customFormat="1" ht="6.75" hidden="1" outlineLevel="2">
      <c r="B743" s="187"/>
      <c r="C743" s="187"/>
      <c r="D743" s="187"/>
      <c r="E743" s="187"/>
      <c r="F743" s="187"/>
      <c r="G743" s="187"/>
      <c r="H743" s="187"/>
      <c r="I743" s="187"/>
      <c r="J743" s="187"/>
      <c r="K743" s="187"/>
      <c r="L743" s="187"/>
      <c r="M743" s="187"/>
      <c r="N743" s="187"/>
      <c r="O743" s="187"/>
      <c r="P743" s="187"/>
      <c r="Q743" s="187"/>
      <c r="R743" s="187"/>
    </row>
    <row r="744" spans="2:57" s="77" customFormat="1" ht="12.75" hidden="1" outlineLevel="2">
      <c r="B744" s="202"/>
      <c r="C744" s="223" t="s">
        <v>322</v>
      </c>
      <c r="D744" s="177"/>
      <c r="E744" s="141"/>
      <c r="F744" s="188" t="s">
        <v>258</v>
      </c>
      <c r="G744" s="141"/>
      <c r="H744" s="188" t="s">
        <v>259</v>
      </c>
      <c r="I744" s="202"/>
      <c r="J744" s="202"/>
      <c r="K744" s="202"/>
      <c r="L744" s="202"/>
      <c r="M744" s="202"/>
      <c r="N744" s="202"/>
      <c r="O744" s="332" t="s">
        <v>265</v>
      </c>
      <c r="P744" s="332"/>
      <c r="Q744" s="202"/>
      <c r="R744" s="202"/>
      <c r="BE744" s="71"/>
    </row>
    <row r="745" spans="2:18" s="71" customFormat="1" ht="6.75" hidden="1" outlineLevel="2">
      <c r="B745" s="187"/>
      <c r="C745" s="187"/>
      <c r="D745" s="187"/>
      <c r="E745" s="187"/>
      <c r="F745" s="187"/>
      <c r="G745" s="187"/>
      <c r="H745" s="187"/>
      <c r="I745" s="187"/>
      <c r="J745" s="187"/>
      <c r="K745" s="187"/>
      <c r="L745" s="187"/>
      <c r="M745" s="187"/>
      <c r="N745" s="187"/>
      <c r="O745" s="187"/>
      <c r="P745" s="187"/>
      <c r="Q745" s="187"/>
      <c r="R745" s="187"/>
    </row>
    <row r="746" spans="2:57" s="77" customFormat="1" ht="12.75" hidden="1" outlineLevel="2">
      <c r="B746" s="202"/>
      <c r="C746" s="223" t="s">
        <v>323</v>
      </c>
      <c r="D746" s="177"/>
      <c r="E746" s="141"/>
      <c r="F746" s="188" t="s">
        <v>258</v>
      </c>
      <c r="G746" s="141"/>
      <c r="H746" s="188" t="s">
        <v>259</v>
      </c>
      <c r="I746" s="202"/>
      <c r="J746" s="202"/>
      <c r="K746" s="202"/>
      <c r="L746" s="202"/>
      <c r="M746" s="202"/>
      <c r="N746" s="202"/>
      <c r="O746" s="332" t="s">
        <v>265</v>
      </c>
      <c r="P746" s="332"/>
      <c r="Q746" s="202"/>
      <c r="R746" s="202"/>
      <c r="BE746" s="71"/>
    </row>
    <row r="747" spans="2:18" s="71" customFormat="1" ht="6.75" hidden="1" outlineLevel="2">
      <c r="B747" s="187"/>
      <c r="C747" s="187"/>
      <c r="D747" s="187"/>
      <c r="E747" s="187"/>
      <c r="F747" s="187"/>
      <c r="G747" s="187"/>
      <c r="H747" s="187"/>
      <c r="I747" s="187"/>
      <c r="J747" s="187"/>
      <c r="K747" s="187"/>
      <c r="L747" s="187"/>
      <c r="M747" s="187"/>
      <c r="N747" s="187"/>
      <c r="O747" s="187"/>
      <c r="P747" s="187"/>
      <c r="Q747" s="187"/>
      <c r="R747" s="187"/>
    </row>
    <row r="748" spans="2:57" s="77" customFormat="1" ht="12.75" hidden="1" outlineLevel="2">
      <c r="B748" s="202"/>
      <c r="C748" s="223" t="s">
        <v>324</v>
      </c>
      <c r="D748" s="177"/>
      <c r="E748" s="141"/>
      <c r="F748" s="188" t="s">
        <v>258</v>
      </c>
      <c r="G748" s="141"/>
      <c r="H748" s="188" t="s">
        <v>259</v>
      </c>
      <c r="I748" s="202"/>
      <c r="J748" s="202"/>
      <c r="K748" s="202"/>
      <c r="L748" s="202"/>
      <c r="M748" s="202"/>
      <c r="N748" s="202"/>
      <c r="O748" s="332" t="s">
        <v>265</v>
      </c>
      <c r="P748" s="332"/>
      <c r="Q748" s="202"/>
      <c r="R748" s="202"/>
      <c r="BE748" s="80"/>
    </row>
    <row r="749" spans="2:18" s="80" customFormat="1" ht="8.25" hidden="1" outlineLevel="2">
      <c r="B749" s="199"/>
      <c r="C749" s="199"/>
      <c r="D749" s="199"/>
      <c r="E749" s="199"/>
      <c r="F749" s="199"/>
      <c r="G749" s="199"/>
      <c r="H749" s="199"/>
      <c r="I749" s="199"/>
      <c r="J749" s="199"/>
      <c r="K749" s="199"/>
      <c r="L749" s="199"/>
      <c r="M749" s="199"/>
      <c r="N749" s="199"/>
      <c r="O749" s="199"/>
      <c r="P749" s="199"/>
      <c r="Q749" s="199"/>
      <c r="R749" s="199"/>
    </row>
    <row r="750" spans="2:57" ht="12.75" hidden="1" outlineLevel="2">
      <c r="B750" s="177"/>
      <c r="C750" s="222" t="s">
        <v>410</v>
      </c>
      <c r="D750" s="177"/>
      <c r="E750" s="177"/>
      <c r="F750" s="177"/>
      <c r="G750" s="210" t="s">
        <v>316</v>
      </c>
      <c r="H750" s="177"/>
      <c r="I750" s="210" t="s">
        <v>260</v>
      </c>
      <c r="J750" s="177"/>
      <c r="K750" s="177"/>
      <c r="L750" s="210" t="s">
        <v>317</v>
      </c>
      <c r="M750" s="177"/>
      <c r="N750" s="177"/>
      <c r="O750" s="210" t="str">
        <f>IF(C718="Zelf details invoeren","Boorwerk d.m.v."," ")</f>
        <v> </v>
      </c>
      <c r="P750" s="177"/>
      <c r="Q750" s="177"/>
      <c r="R750" s="177"/>
      <c r="BE750" s="71"/>
    </row>
    <row r="751" spans="2:18" s="71" customFormat="1" ht="6.75" hidden="1" outlineLevel="2">
      <c r="B751" s="187"/>
      <c r="C751" s="187"/>
      <c r="D751" s="187"/>
      <c r="E751" s="187"/>
      <c r="F751" s="187"/>
      <c r="G751" s="187"/>
      <c r="H751" s="187"/>
      <c r="I751" s="187"/>
      <c r="J751" s="187"/>
      <c r="K751" s="187"/>
      <c r="L751" s="187"/>
      <c r="M751" s="187"/>
      <c r="N751" s="187"/>
      <c r="O751" s="187"/>
      <c r="P751" s="187"/>
      <c r="Q751" s="187"/>
      <c r="R751" s="187"/>
    </row>
    <row r="752" spans="2:57" ht="12.75" hidden="1" outlineLevel="2">
      <c r="B752" s="177"/>
      <c r="C752" s="223" t="s">
        <v>315</v>
      </c>
      <c r="D752" s="177"/>
      <c r="E752" s="141"/>
      <c r="F752" s="188" t="s">
        <v>270</v>
      </c>
      <c r="G752" s="141"/>
      <c r="H752" s="188" t="s">
        <v>259</v>
      </c>
      <c r="I752" s="326" t="s">
        <v>265</v>
      </c>
      <c r="J752" s="327"/>
      <c r="K752" s="177"/>
      <c r="L752" s="326" t="s">
        <v>265</v>
      </c>
      <c r="M752" s="327"/>
      <c r="N752" s="177"/>
      <c r="O752" s="332" t="s">
        <v>265</v>
      </c>
      <c r="P752" s="332"/>
      <c r="Q752" s="177"/>
      <c r="R752" s="177"/>
      <c r="BE752" s="71"/>
    </row>
    <row r="753" spans="2:18" s="71" customFormat="1" ht="6.75" hidden="1" outlineLevel="2">
      <c r="B753" s="187"/>
      <c r="C753" s="187"/>
      <c r="D753" s="187"/>
      <c r="E753" s="187"/>
      <c r="F753" s="187"/>
      <c r="G753" s="187"/>
      <c r="H753" s="187"/>
      <c r="I753" s="187"/>
      <c r="J753" s="187"/>
      <c r="K753" s="187"/>
      <c r="L753" s="187"/>
      <c r="M753" s="187"/>
      <c r="N753" s="187"/>
      <c r="O753" s="187"/>
      <c r="P753" s="187"/>
      <c r="Q753" s="187"/>
      <c r="R753" s="187"/>
    </row>
    <row r="754" spans="2:57" ht="12.75" hidden="1" outlineLevel="2">
      <c r="B754" s="177"/>
      <c r="C754" s="223" t="s">
        <v>322</v>
      </c>
      <c r="D754" s="177"/>
      <c r="E754" s="141"/>
      <c r="F754" s="188" t="s">
        <v>270</v>
      </c>
      <c r="G754" s="141"/>
      <c r="H754" s="188" t="s">
        <v>259</v>
      </c>
      <c r="I754" s="331" t="s">
        <v>265</v>
      </c>
      <c r="J754" s="325"/>
      <c r="K754" s="177"/>
      <c r="L754" s="324" t="s">
        <v>265</v>
      </c>
      <c r="M754" s="325"/>
      <c r="N754" s="177"/>
      <c r="O754" s="332" t="s">
        <v>265</v>
      </c>
      <c r="P754" s="332"/>
      <c r="Q754" s="177"/>
      <c r="R754" s="177"/>
      <c r="BE754" s="71"/>
    </row>
    <row r="755" spans="2:18" s="71" customFormat="1" ht="6.75" hidden="1" outlineLevel="2">
      <c r="B755" s="187"/>
      <c r="C755" s="187"/>
      <c r="D755" s="187"/>
      <c r="E755" s="187"/>
      <c r="F755" s="187"/>
      <c r="G755" s="187"/>
      <c r="H755" s="187"/>
      <c r="I755" s="187"/>
      <c r="J755" s="187"/>
      <c r="K755" s="187"/>
      <c r="L755" s="187"/>
      <c r="M755" s="187"/>
      <c r="N755" s="187"/>
      <c r="O755" s="187"/>
      <c r="P755" s="187"/>
      <c r="Q755" s="187"/>
      <c r="R755" s="187"/>
    </row>
    <row r="756" spans="2:57" ht="12.75" hidden="1" outlineLevel="2">
      <c r="B756" s="177"/>
      <c r="C756" s="223" t="s">
        <v>323</v>
      </c>
      <c r="D756" s="177"/>
      <c r="E756" s="141"/>
      <c r="F756" s="188" t="s">
        <v>270</v>
      </c>
      <c r="G756" s="141"/>
      <c r="H756" s="188" t="s">
        <v>259</v>
      </c>
      <c r="I756" s="324" t="s">
        <v>265</v>
      </c>
      <c r="J756" s="325"/>
      <c r="K756" s="177"/>
      <c r="L756" s="324" t="s">
        <v>265</v>
      </c>
      <c r="M756" s="325"/>
      <c r="N756" s="177"/>
      <c r="O756" s="332" t="s">
        <v>265</v>
      </c>
      <c r="P756" s="332"/>
      <c r="Q756" s="177"/>
      <c r="R756" s="177"/>
      <c r="BE756" s="71"/>
    </row>
    <row r="757" spans="2:18" s="71" customFormat="1" ht="6.75" hidden="1" outlineLevel="2">
      <c r="B757" s="187"/>
      <c r="C757" s="187"/>
      <c r="D757" s="187"/>
      <c r="E757" s="187"/>
      <c r="F757" s="187"/>
      <c r="G757" s="187"/>
      <c r="H757" s="187"/>
      <c r="I757" s="187"/>
      <c r="J757" s="187"/>
      <c r="K757" s="187"/>
      <c r="L757" s="187"/>
      <c r="M757" s="187"/>
      <c r="N757" s="187"/>
      <c r="O757" s="187"/>
      <c r="P757" s="187"/>
      <c r="Q757" s="187"/>
      <c r="R757" s="187"/>
    </row>
    <row r="758" spans="2:57" ht="12.75" hidden="1" outlineLevel="2">
      <c r="B758" s="177"/>
      <c r="C758" s="223" t="s">
        <v>324</v>
      </c>
      <c r="D758" s="177"/>
      <c r="E758" s="141"/>
      <c r="F758" s="188" t="s">
        <v>270</v>
      </c>
      <c r="G758" s="141"/>
      <c r="H758" s="188" t="s">
        <v>259</v>
      </c>
      <c r="I758" s="324" t="s">
        <v>265</v>
      </c>
      <c r="J758" s="325"/>
      <c r="K758" s="177"/>
      <c r="L758" s="331" t="s">
        <v>265</v>
      </c>
      <c r="M758" s="325"/>
      <c r="N758" s="177"/>
      <c r="O758" s="332" t="s">
        <v>265</v>
      </c>
      <c r="P758" s="332"/>
      <c r="Q758" s="177"/>
      <c r="R758" s="177"/>
      <c r="BE758" s="80"/>
    </row>
    <row r="759" spans="2:18" s="80" customFormat="1" ht="8.25" hidden="1" outlineLevel="2">
      <c r="B759" s="199"/>
      <c r="C759" s="199"/>
      <c r="D759" s="199"/>
      <c r="E759" s="199"/>
      <c r="F759" s="199"/>
      <c r="G759" s="199"/>
      <c r="H759" s="199"/>
      <c r="I759" s="199"/>
      <c r="J759" s="199"/>
      <c r="K759" s="199"/>
      <c r="L759" s="199"/>
      <c r="M759" s="199"/>
      <c r="N759" s="199"/>
      <c r="O759" s="199"/>
      <c r="P759" s="199"/>
      <c r="Q759" s="199"/>
      <c r="R759" s="199"/>
    </row>
    <row r="760" spans="2:57" ht="12.75" hidden="1" outlineLevel="2">
      <c r="B760" s="177"/>
      <c r="C760" s="222" t="s">
        <v>387</v>
      </c>
      <c r="D760" s="177"/>
      <c r="E760" s="177"/>
      <c r="F760" s="177"/>
      <c r="G760" s="210" t="s">
        <v>389</v>
      </c>
      <c r="H760" s="177"/>
      <c r="I760" s="210" t="s">
        <v>390</v>
      </c>
      <c r="J760" s="177"/>
      <c r="K760" s="177"/>
      <c r="L760" s="210" t="s">
        <v>391</v>
      </c>
      <c r="M760" s="177"/>
      <c r="N760" s="177"/>
      <c r="O760" s="177"/>
      <c r="P760" s="177"/>
      <c r="Q760" s="177"/>
      <c r="R760" s="177"/>
      <c r="BE760" s="71"/>
    </row>
    <row r="761" spans="2:18" s="71" customFormat="1" ht="6.75" hidden="1" outlineLevel="2">
      <c r="B761" s="187"/>
      <c r="C761" s="187"/>
      <c r="D761" s="187"/>
      <c r="E761" s="187"/>
      <c r="F761" s="187"/>
      <c r="G761" s="187"/>
      <c r="H761" s="187"/>
      <c r="I761" s="187"/>
      <c r="J761" s="187"/>
      <c r="K761" s="187"/>
      <c r="L761" s="187"/>
      <c r="M761" s="187"/>
      <c r="N761" s="187"/>
      <c r="O761" s="187"/>
      <c r="P761" s="187"/>
      <c r="Q761" s="187"/>
      <c r="R761" s="187"/>
    </row>
    <row r="762" spans="2:57" ht="12.75" hidden="1" outlineLevel="2">
      <c r="B762" s="177"/>
      <c r="C762" s="223" t="s">
        <v>388</v>
      </c>
      <c r="D762" s="177"/>
      <c r="E762" s="141"/>
      <c r="F762" s="188" t="s">
        <v>270</v>
      </c>
      <c r="G762" s="141"/>
      <c r="H762" s="188" t="s">
        <v>259</v>
      </c>
      <c r="I762" s="326" t="s">
        <v>265</v>
      </c>
      <c r="J762" s="327"/>
      <c r="K762" s="177"/>
      <c r="L762" s="326" t="s">
        <v>265</v>
      </c>
      <c r="M762" s="327"/>
      <c r="N762" s="177"/>
      <c r="O762" s="177"/>
      <c r="P762" s="177"/>
      <c r="Q762" s="177"/>
      <c r="R762" s="177"/>
      <c r="BE762" s="71"/>
    </row>
    <row r="763" spans="2:18" s="71" customFormat="1" ht="6.75" hidden="1" outlineLevel="2">
      <c r="B763" s="187"/>
      <c r="C763" s="187"/>
      <c r="D763" s="187"/>
      <c r="E763" s="187"/>
      <c r="F763" s="187"/>
      <c r="G763" s="187"/>
      <c r="H763" s="187"/>
      <c r="I763" s="187"/>
      <c r="J763" s="187"/>
      <c r="K763" s="187"/>
      <c r="L763" s="187"/>
      <c r="M763" s="187"/>
      <c r="N763" s="187"/>
      <c r="O763" s="187"/>
      <c r="P763" s="187"/>
      <c r="Q763" s="187"/>
      <c r="R763" s="187"/>
    </row>
    <row r="764" spans="2:57" ht="12.75" hidden="1" outlineLevel="2">
      <c r="B764" s="177"/>
      <c r="C764" s="223" t="s">
        <v>392</v>
      </c>
      <c r="D764" s="177"/>
      <c r="E764" s="141"/>
      <c r="F764" s="188" t="s">
        <v>270</v>
      </c>
      <c r="G764" s="141"/>
      <c r="H764" s="188" t="s">
        <v>259</v>
      </c>
      <c r="I764" s="324" t="s">
        <v>265</v>
      </c>
      <c r="J764" s="325"/>
      <c r="K764" s="177"/>
      <c r="L764" s="324" t="s">
        <v>265</v>
      </c>
      <c r="M764" s="325"/>
      <c r="N764" s="177"/>
      <c r="O764" s="177"/>
      <c r="P764" s="177"/>
      <c r="Q764" s="177"/>
      <c r="R764" s="177"/>
      <c r="BE764" s="71"/>
    </row>
    <row r="765" spans="2:18" s="71" customFormat="1" ht="6.75" hidden="1" outlineLevel="2">
      <c r="B765" s="187"/>
      <c r="C765" s="187"/>
      <c r="D765" s="187"/>
      <c r="E765" s="187"/>
      <c r="F765" s="187"/>
      <c r="G765" s="187"/>
      <c r="H765" s="187"/>
      <c r="I765" s="187"/>
      <c r="J765" s="187"/>
      <c r="K765" s="187"/>
      <c r="L765" s="187"/>
      <c r="M765" s="187"/>
      <c r="N765" s="187"/>
      <c r="O765" s="187"/>
      <c r="P765" s="187"/>
      <c r="Q765" s="187"/>
      <c r="R765" s="187"/>
    </row>
    <row r="766" spans="2:57" ht="12.75" hidden="1" outlineLevel="2">
      <c r="B766" s="177"/>
      <c r="C766" s="223" t="s">
        <v>393</v>
      </c>
      <c r="D766" s="177"/>
      <c r="E766" s="141"/>
      <c r="F766" s="188" t="s">
        <v>270</v>
      </c>
      <c r="G766" s="141"/>
      <c r="H766" s="188" t="s">
        <v>259</v>
      </c>
      <c r="I766" s="324" t="s">
        <v>265</v>
      </c>
      <c r="J766" s="325"/>
      <c r="K766" s="177"/>
      <c r="L766" s="324" t="s">
        <v>265</v>
      </c>
      <c r="M766" s="325"/>
      <c r="N766" s="177"/>
      <c r="O766" s="177"/>
      <c r="P766" s="177"/>
      <c r="Q766" s="177"/>
      <c r="R766" s="177"/>
      <c r="BE766" s="71"/>
    </row>
    <row r="767" spans="2:18" s="71" customFormat="1" ht="6.75" hidden="1" outlineLevel="2">
      <c r="B767" s="187"/>
      <c r="C767" s="187"/>
      <c r="D767" s="187"/>
      <c r="E767" s="187"/>
      <c r="F767" s="187"/>
      <c r="G767" s="187"/>
      <c r="H767" s="187"/>
      <c r="I767" s="187"/>
      <c r="J767" s="187"/>
      <c r="K767" s="187"/>
      <c r="L767" s="187"/>
      <c r="M767" s="187"/>
      <c r="N767" s="187"/>
      <c r="O767" s="187"/>
      <c r="P767" s="187"/>
      <c r="Q767" s="187"/>
      <c r="R767" s="187"/>
    </row>
    <row r="768" spans="2:57" ht="12.75" hidden="1" outlineLevel="2">
      <c r="B768" s="177"/>
      <c r="C768" s="223" t="s">
        <v>394</v>
      </c>
      <c r="D768" s="177"/>
      <c r="E768" s="141"/>
      <c r="F768" s="188" t="s">
        <v>270</v>
      </c>
      <c r="G768" s="141"/>
      <c r="H768" s="188" t="s">
        <v>259</v>
      </c>
      <c r="I768" s="324" t="s">
        <v>265</v>
      </c>
      <c r="J768" s="325"/>
      <c r="K768" s="177"/>
      <c r="L768" s="324" t="s">
        <v>265</v>
      </c>
      <c r="M768" s="325"/>
      <c r="N768" s="177"/>
      <c r="O768" s="177"/>
      <c r="P768" s="177"/>
      <c r="Q768" s="177"/>
      <c r="R768" s="177"/>
      <c r="BE768" s="80"/>
    </row>
    <row r="769" spans="2:18" s="80" customFormat="1" ht="8.25" hidden="1" outlineLevel="2">
      <c r="B769" s="199"/>
      <c r="C769" s="199"/>
      <c r="D769" s="199"/>
      <c r="E769" s="199"/>
      <c r="F769" s="199"/>
      <c r="G769" s="199"/>
      <c r="H769" s="199"/>
      <c r="I769" s="199"/>
      <c r="J769" s="199"/>
      <c r="K769" s="199"/>
      <c r="L769" s="199"/>
      <c r="M769" s="199"/>
      <c r="N769" s="199"/>
      <c r="O769" s="199"/>
      <c r="P769" s="199"/>
      <c r="Q769" s="199"/>
      <c r="R769" s="199"/>
    </row>
    <row r="770" spans="2:57" s="81" customFormat="1" ht="11.25" hidden="1" outlineLevel="1">
      <c r="B770" s="219"/>
      <c r="C770" s="219"/>
      <c r="D770" s="219"/>
      <c r="E770" s="219"/>
      <c r="F770" s="219"/>
      <c r="G770" s="219"/>
      <c r="H770" s="219"/>
      <c r="I770" s="219"/>
      <c r="J770" s="219"/>
      <c r="K770" s="219"/>
      <c r="L770" s="219"/>
      <c r="M770" s="219"/>
      <c r="N770" s="219"/>
      <c r="O770" s="219"/>
      <c r="P770" s="219"/>
      <c r="Q770" s="219"/>
      <c r="R770" s="219"/>
      <c r="BE770" s="71"/>
    </row>
    <row r="771" spans="2:18" ht="12.75" hidden="1" outlineLevel="1">
      <c r="B771" s="177"/>
      <c r="C771" s="198" t="s">
        <v>636</v>
      </c>
      <c r="D771" s="177"/>
      <c r="E771" s="177"/>
      <c r="F771" s="177"/>
      <c r="G771" s="177"/>
      <c r="H771" s="177"/>
      <c r="I771" s="177"/>
      <c r="J771" s="177"/>
      <c r="K771" s="177"/>
      <c r="L771" s="177"/>
      <c r="M771" s="177"/>
      <c r="N771" s="177"/>
      <c r="O771" s="177"/>
      <c r="P771" s="177"/>
      <c r="Q771" s="177"/>
      <c r="R771" s="177"/>
    </row>
    <row r="772" spans="2:57" s="80" customFormat="1" ht="8.25" hidden="1" outlineLevel="2">
      <c r="B772" s="199"/>
      <c r="C772" s="250"/>
      <c r="D772" s="199"/>
      <c r="E772" s="199"/>
      <c r="F772" s="199"/>
      <c r="G772" s="199"/>
      <c r="H772" s="199"/>
      <c r="I772" s="199"/>
      <c r="J772" s="199"/>
      <c r="K772" s="199"/>
      <c r="L772" s="199"/>
      <c r="M772" s="199"/>
      <c r="N772" s="199"/>
      <c r="O772" s="199"/>
      <c r="P772" s="199"/>
      <c r="Q772" s="199"/>
      <c r="R772" s="199"/>
      <c r="BE772" s="71"/>
    </row>
    <row r="773" spans="2:18" ht="12.75" hidden="1" outlineLevel="2">
      <c r="B773" s="177"/>
      <c r="C773" s="222" t="s">
        <v>678</v>
      </c>
      <c r="D773" s="177"/>
      <c r="E773" s="177"/>
      <c r="F773" s="177"/>
      <c r="G773" s="177"/>
      <c r="H773" s="177"/>
      <c r="I773" s="177"/>
      <c r="J773" s="177"/>
      <c r="K773" s="177"/>
      <c r="L773" s="210" t="s">
        <v>255</v>
      </c>
      <c r="M773" s="177"/>
      <c r="N773" s="177"/>
      <c r="O773" s="177"/>
      <c r="P773" s="177"/>
      <c r="Q773" s="177"/>
      <c r="R773" s="177"/>
    </row>
    <row r="774" spans="2:18" s="71" customFormat="1" ht="6.75" hidden="1" outlineLevel="2">
      <c r="B774" s="187"/>
      <c r="C774" s="187"/>
      <c r="D774" s="187"/>
      <c r="E774" s="187"/>
      <c r="F774" s="187"/>
      <c r="G774" s="187"/>
      <c r="H774" s="187"/>
      <c r="I774" s="187"/>
      <c r="J774" s="187"/>
      <c r="K774" s="187"/>
      <c r="L774" s="187"/>
      <c r="M774" s="187"/>
      <c r="N774" s="187"/>
      <c r="O774" s="187"/>
      <c r="P774" s="187"/>
      <c r="Q774" s="187"/>
      <c r="R774" s="187"/>
    </row>
    <row r="775" spans="2:18" ht="12.75" hidden="1" outlineLevel="2">
      <c r="B775" s="177"/>
      <c r="C775" s="223" t="s">
        <v>800</v>
      </c>
      <c r="D775" s="177"/>
      <c r="E775" s="177"/>
      <c r="F775" s="177"/>
      <c r="G775" s="177"/>
      <c r="H775" s="177"/>
      <c r="I775" s="309"/>
      <c r="J775" s="188" t="s">
        <v>637</v>
      </c>
      <c r="K775" s="177"/>
      <c r="L775" s="328" t="s">
        <v>265</v>
      </c>
      <c r="M775" s="329"/>
      <c r="N775" s="177"/>
      <c r="O775" s="177"/>
      <c r="P775" s="177"/>
      <c r="Q775" s="177"/>
      <c r="R775" s="177"/>
    </row>
    <row r="776" spans="2:18" s="71" customFormat="1" ht="6.75" hidden="1" outlineLevel="2">
      <c r="B776" s="187"/>
      <c r="C776" s="187"/>
      <c r="D776" s="187"/>
      <c r="E776" s="187"/>
      <c r="F776" s="187"/>
      <c r="G776" s="187"/>
      <c r="H776" s="187"/>
      <c r="I776" s="187"/>
      <c r="J776" s="187"/>
      <c r="K776" s="187"/>
      <c r="L776" s="187"/>
      <c r="M776" s="187"/>
      <c r="N776" s="187"/>
      <c r="O776" s="187"/>
      <c r="P776" s="187"/>
      <c r="Q776" s="187"/>
      <c r="R776" s="187"/>
    </row>
    <row r="777" spans="2:18" ht="12.75" hidden="1" outlineLevel="2">
      <c r="B777" s="177"/>
      <c r="C777" s="223" t="s">
        <v>801</v>
      </c>
      <c r="D777" s="177"/>
      <c r="E777" s="177"/>
      <c r="F777" s="177"/>
      <c r="G777" s="177"/>
      <c r="H777" s="177"/>
      <c r="I777" s="309"/>
      <c r="J777" s="188" t="s">
        <v>637</v>
      </c>
      <c r="K777" s="177"/>
      <c r="L777" s="328" t="s">
        <v>265</v>
      </c>
      <c r="M777" s="329"/>
      <c r="N777" s="177"/>
      <c r="O777" s="177"/>
      <c r="P777" s="177"/>
      <c r="Q777" s="177"/>
      <c r="R777" s="177"/>
    </row>
    <row r="778" spans="2:57" s="71" customFormat="1" ht="8.25" hidden="1" outlineLevel="2">
      <c r="B778" s="187"/>
      <c r="C778" s="187"/>
      <c r="D778" s="187"/>
      <c r="E778" s="187"/>
      <c r="F778" s="187"/>
      <c r="G778" s="187"/>
      <c r="H778" s="187"/>
      <c r="I778" s="187"/>
      <c r="J778" s="187"/>
      <c r="K778" s="187"/>
      <c r="L778" s="187"/>
      <c r="M778" s="187"/>
      <c r="N778" s="187"/>
      <c r="O778" s="187"/>
      <c r="P778" s="187"/>
      <c r="Q778" s="187"/>
      <c r="R778" s="187"/>
      <c r="BE778" s="80"/>
    </row>
    <row r="779" spans="2:57" ht="12.75" hidden="1" outlineLevel="2">
      <c r="B779" s="177"/>
      <c r="C779" s="223" t="s">
        <v>654</v>
      </c>
      <c r="D779" s="177"/>
      <c r="E779" s="177"/>
      <c r="F779" s="177"/>
      <c r="G779" s="177"/>
      <c r="H779" s="177"/>
      <c r="I779" s="309"/>
      <c r="J779" s="188" t="s">
        <v>637</v>
      </c>
      <c r="K779" s="177"/>
      <c r="L779" s="328" t="s">
        <v>265</v>
      </c>
      <c r="M779" s="329"/>
      <c r="N779" s="177"/>
      <c r="O779" s="177"/>
      <c r="P779" s="177"/>
      <c r="Q779" s="177"/>
      <c r="R779" s="177"/>
      <c r="BE779" s="81"/>
    </row>
    <row r="780" spans="2:18" s="80" customFormat="1" ht="8.25" hidden="1" outlineLevel="2">
      <c r="B780" s="199"/>
      <c r="C780" s="199"/>
      <c r="D780" s="199"/>
      <c r="E780" s="199"/>
      <c r="F780" s="199"/>
      <c r="G780" s="199"/>
      <c r="H780" s="199"/>
      <c r="I780" s="199"/>
      <c r="J780" s="199"/>
      <c r="K780" s="199"/>
      <c r="L780" s="199"/>
      <c r="M780" s="199"/>
      <c r="N780" s="199"/>
      <c r="O780" s="199"/>
      <c r="P780" s="199"/>
      <c r="Q780" s="199"/>
      <c r="R780" s="199"/>
    </row>
    <row r="781" spans="2:57" ht="12.75" hidden="1" outlineLevel="2">
      <c r="B781" s="177"/>
      <c r="C781" s="222" t="s">
        <v>411</v>
      </c>
      <c r="D781" s="177"/>
      <c r="E781" s="177"/>
      <c r="F781" s="177"/>
      <c r="G781" s="177"/>
      <c r="H781" s="210" t="s">
        <v>585</v>
      </c>
      <c r="I781" s="177"/>
      <c r="J781" s="210" t="s">
        <v>255</v>
      </c>
      <c r="K781" s="177"/>
      <c r="L781" s="177"/>
      <c r="M781" s="177"/>
      <c r="N781" s="177"/>
      <c r="O781" s="177"/>
      <c r="P781" s="177"/>
      <c r="Q781" s="177"/>
      <c r="R781" s="177"/>
      <c r="BE781" s="80"/>
    </row>
    <row r="782" spans="2:18" s="71" customFormat="1" ht="6.75" hidden="1" outlineLevel="2">
      <c r="B782" s="187"/>
      <c r="C782" s="187"/>
      <c r="D782" s="187"/>
      <c r="E782" s="187"/>
      <c r="F782" s="187"/>
      <c r="G782" s="187"/>
      <c r="H782" s="187"/>
      <c r="I782" s="187"/>
      <c r="J782" s="187"/>
      <c r="K782" s="187"/>
      <c r="L782" s="187"/>
      <c r="M782" s="187"/>
      <c r="N782" s="187"/>
      <c r="O782" s="187"/>
      <c r="P782" s="187"/>
      <c r="Q782" s="187"/>
      <c r="R782" s="187"/>
    </row>
    <row r="783" spans="2:57" ht="12.75" hidden="1" outlineLevel="2">
      <c r="B783" s="177"/>
      <c r="C783" s="223" t="s">
        <v>412</v>
      </c>
      <c r="D783" s="177"/>
      <c r="E783" s="177"/>
      <c r="F783" s="309"/>
      <c r="G783" s="188" t="s">
        <v>259</v>
      </c>
      <c r="H783" s="309"/>
      <c r="I783" s="188" t="s">
        <v>253</v>
      </c>
      <c r="J783" s="328" t="s">
        <v>265</v>
      </c>
      <c r="K783" s="329"/>
      <c r="L783" s="177"/>
      <c r="M783" s="177"/>
      <c r="N783" s="177"/>
      <c r="O783" s="177"/>
      <c r="P783" s="177"/>
      <c r="Q783" s="177"/>
      <c r="R783" s="177"/>
      <c r="BE783" s="71"/>
    </row>
    <row r="784" spans="2:18" s="71" customFormat="1" ht="6.75" hidden="1" outlineLevel="2">
      <c r="B784" s="187"/>
      <c r="C784" s="187"/>
      <c r="D784" s="187"/>
      <c r="E784" s="187"/>
      <c r="F784" s="187"/>
      <c r="G784" s="187"/>
      <c r="H784" s="187"/>
      <c r="I784" s="187"/>
      <c r="J784" s="187"/>
      <c r="K784" s="187"/>
      <c r="L784" s="187"/>
      <c r="M784" s="187"/>
      <c r="N784" s="187"/>
      <c r="O784" s="187"/>
      <c r="P784" s="187"/>
      <c r="Q784" s="187"/>
      <c r="R784" s="187"/>
    </row>
    <row r="785" spans="2:57" ht="12.75" hidden="1" outlineLevel="2">
      <c r="B785" s="177"/>
      <c r="C785" s="223" t="s">
        <v>414</v>
      </c>
      <c r="D785" s="177"/>
      <c r="E785" s="177"/>
      <c r="F785" s="309"/>
      <c r="G785" s="188" t="s">
        <v>259</v>
      </c>
      <c r="H785" s="309"/>
      <c r="I785" s="188" t="s">
        <v>253</v>
      </c>
      <c r="J785" s="177"/>
      <c r="K785" s="177"/>
      <c r="L785" s="177"/>
      <c r="M785" s="177"/>
      <c r="N785" s="177"/>
      <c r="O785" s="177"/>
      <c r="P785" s="177"/>
      <c r="Q785" s="177"/>
      <c r="R785" s="177"/>
      <c r="BE785" s="71"/>
    </row>
    <row r="786" spans="2:18" s="71" customFormat="1" ht="6.75" hidden="1" outlineLevel="2">
      <c r="B786" s="187"/>
      <c r="C786" s="187"/>
      <c r="D786" s="187"/>
      <c r="E786" s="187"/>
      <c r="F786" s="187"/>
      <c r="G786" s="187"/>
      <c r="H786" s="187"/>
      <c r="I786" s="187"/>
      <c r="J786" s="187"/>
      <c r="K786" s="187"/>
      <c r="L786" s="187"/>
      <c r="M786" s="187"/>
      <c r="N786" s="187"/>
      <c r="O786" s="187"/>
      <c r="P786" s="187"/>
      <c r="Q786" s="187"/>
      <c r="R786" s="187"/>
    </row>
    <row r="787" spans="2:57" ht="12.75" hidden="1" outlineLevel="2">
      <c r="B787" s="177"/>
      <c r="C787" s="223" t="s">
        <v>413</v>
      </c>
      <c r="D787" s="177"/>
      <c r="E787" s="177"/>
      <c r="F787" s="309"/>
      <c r="G787" s="188" t="s">
        <v>259</v>
      </c>
      <c r="H787" s="309"/>
      <c r="I787" s="188" t="s">
        <v>253</v>
      </c>
      <c r="J787" s="177"/>
      <c r="K787" s="177"/>
      <c r="L787" s="177"/>
      <c r="M787" s="177"/>
      <c r="N787" s="177"/>
      <c r="O787" s="177"/>
      <c r="P787" s="177"/>
      <c r="Q787" s="177"/>
      <c r="R787" s="177"/>
      <c r="BE787" s="71"/>
    </row>
    <row r="788" spans="2:18" s="80" customFormat="1" ht="8.25" hidden="1" outlineLevel="2">
      <c r="B788" s="199"/>
      <c r="C788" s="199"/>
      <c r="D788" s="199"/>
      <c r="E788" s="199"/>
      <c r="F788" s="199"/>
      <c r="G788" s="199"/>
      <c r="H788" s="199"/>
      <c r="I788" s="199"/>
      <c r="J788" s="199"/>
      <c r="K788" s="199"/>
      <c r="L788" s="199"/>
      <c r="M788" s="199"/>
      <c r="N788" s="199"/>
      <c r="O788" s="199"/>
      <c r="P788" s="199"/>
      <c r="Q788" s="199"/>
      <c r="R788" s="199"/>
    </row>
    <row r="789" spans="2:57" ht="12.75" hidden="1" outlineLevel="2">
      <c r="B789" s="177"/>
      <c r="C789" s="222" t="s">
        <v>415</v>
      </c>
      <c r="D789" s="177"/>
      <c r="E789" s="177"/>
      <c r="F789" s="210" t="s">
        <v>585</v>
      </c>
      <c r="G789" s="177"/>
      <c r="H789" s="177"/>
      <c r="I789" s="177"/>
      <c r="J789" s="210" t="s">
        <v>255</v>
      </c>
      <c r="K789" s="177"/>
      <c r="L789" s="173"/>
      <c r="M789" s="177"/>
      <c r="N789" s="177"/>
      <c r="O789" s="177"/>
      <c r="P789" s="177"/>
      <c r="Q789" s="177"/>
      <c r="R789" s="177"/>
      <c r="BE789" s="80"/>
    </row>
    <row r="790" spans="2:18" s="71" customFormat="1" ht="6.75" hidden="1" outlineLevel="2">
      <c r="B790" s="187"/>
      <c r="C790" s="187"/>
      <c r="D790" s="187"/>
      <c r="E790" s="187"/>
      <c r="F790" s="187"/>
      <c r="G790" s="187"/>
      <c r="H790" s="187"/>
      <c r="I790" s="187"/>
      <c r="J790" s="187"/>
      <c r="K790" s="187"/>
      <c r="L790" s="184"/>
      <c r="M790" s="187"/>
      <c r="N790" s="187"/>
      <c r="O790" s="187"/>
      <c r="P790" s="187"/>
      <c r="Q790" s="187"/>
      <c r="R790" s="187"/>
    </row>
    <row r="791" spans="2:57" ht="12.75" hidden="1" outlineLevel="2">
      <c r="B791" s="235"/>
      <c r="C791" s="236" t="s">
        <v>379</v>
      </c>
      <c r="D791" s="235"/>
      <c r="E791" s="235"/>
      <c r="F791" s="167">
        <f>(200*($H$783*24)*$F$783)+(400*($H$785*24)*$F$785)+(600*($H$787*24)*$F$787)</f>
        <v>0</v>
      </c>
      <c r="G791" s="223" t="s">
        <v>692</v>
      </c>
      <c r="H791" s="141"/>
      <c r="I791" s="188" t="s">
        <v>256</v>
      </c>
      <c r="J791" s="324" t="s">
        <v>265</v>
      </c>
      <c r="K791" s="325"/>
      <c r="L791" s="173"/>
      <c r="M791" s="177"/>
      <c r="N791" s="177"/>
      <c r="O791" s="177"/>
      <c r="P791" s="177"/>
      <c r="Q791" s="177"/>
      <c r="R791" s="177"/>
      <c r="BE791" s="71"/>
    </row>
    <row r="792" spans="2:18" s="71" customFormat="1" ht="6.75" hidden="1" outlineLevel="2">
      <c r="B792" s="237"/>
      <c r="C792" s="187"/>
      <c r="D792" s="187"/>
      <c r="E792" s="187"/>
      <c r="F792" s="187"/>
      <c r="G792" s="187"/>
      <c r="H792" s="187"/>
      <c r="I792" s="187"/>
      <c r="J792" s="187"/>
      <c r="K792" s="187"/>
      <c r="L792" s="184"/>
      <c r="M792" s="187"/>
      <c r="N792" s="187"/>
      <c r="O792" s="187"/>
      <c r="P792" s="187"/>
      <c r="Q792" s="187"/>
      <c r="R792" s="187"/>
    </row>
    <row r="793" spans="2:57" ht="12.75" hidden="1" outlineLevel="2">
      <c r="B793" s="235"/>
      <c r="C793" s="223" t="s">
        <v>198</v>
      </c>
      <c r="D793" s="177"/>
      <c r="E793" s="177"/>
      <c r="F793" s="167">
        <f>(200*($H$783*24)*$F$783)+(400*($H$785*24)*$F$785)+(600*($H$787*24)*$F$787)</f>
        <v>0</v>
      </c>
      <c r="G793" s="223" t="s">
        <v>692</v>
      </c>
      <c r="H793" s="177"/>
      <c r="I793" s="177"/>
      <c r="J793" s="324" t="s">
        <v>265</v>
      </c>
      <c r="K793" s="325"/>
      <c r="L793" s="173"/>
      <c r="M793" s="177"/>
      <c r="N793" s="177"/>
      <c r="O793" s="177"/>
      <c r="P793" s="177"/>
      <c r="Q793" s="177"/>
      <c r="R793" s="177"/>
      <c r="BE793" s="71"/>
    </row>
    <row r="794" spans="2:18" s="80" customFormat="1" ht="8.25" hidden="1" outlineLevel="2">
      <c r="B794" s="238"/>
      <c r="C794" s="199"/>
      <c r="D794" s="199"/>
      <c r="E794" s="199"/>
      <c r="F794" s="199"/>
      <c r="G794" s="199"/>
      <c r="H794" s="199"/>
      <c r="I794" s="199"/>
      <c r="J794" s="199"/>
      <c r="K794" s="251"/>
      <c r="L794" s="251"/>
      <c r="M794" s="199"/>
      <c r="N794" s="199"/>
      <c r="O794" s="199"/>
      <c r="P794" s="199"/>
      <c r="Q794" s="199"/>
      <c r="R794" s="199"/>
    </row>
    <row r="795" spans="2:57" ht="12.75" hidden="1" outlineLevel="2">
      <c r="B795" s="239"/>
      <c r="C795" s="222" t="s">
        <v>516</v>
      </c>
      <c r="D795" s="241"/>
      <c r="E795" s="241"/>
      <c r="F795" s="241"/>
      <c r="G795" s="241"/>
      <c r="H795" s="241"/>
      <c r="I795" s="241"/>
      <c r="J795" s="241"/>
      <c r="K795" s="252"/>
      <c r="L795" s="173"/>
      <c r="M795" s="177"/>
      <c r="N795" s="177"/>
      <c r="O795" s="177"/>
      <c r="P795" s="177"/>
      <c r="Q795" s="177"/>
      <c r="R795" s="177"/>
      <c r="BE795" s="71"/>
    </row>
    <row r="796" spans="2:18" s="71" customFormat="1" ht="6.75" hidden="1" outlineLevel="2">
      <c r="B796" s="237"/>
      <c r="C796" s="187"/>
      <c r="D796" s="187"/>
      <c r="E796" s="187"/>
      <c r="F796" s="187"/>
      <c r="G796" s="187"/>
      <c r="H796" s="187"/>
      <c r="I796" s="187"/>
      <c r="J796" s="187"/>
      <c r="K796" s="184"/>
      <c r="L796" s="184"/>
      <c r="M796" s="187"/>
      <c r="N796" s="187"/>
      <c r="O796" s="187"/>
      <c r="P796" s="187"/>
      <c r="Q796" s="187"/>
      <c r="R796" s="187"/>
    </row>
    <row r="797" spans="2:57" ht="12.75" hidden="1" outlineLevel="2">
      <c r="B797" s="235"/>
      <c r="C797" s="223" t="s">
        <v>517</v>
      </c>
      <c r="D797" s="177"/>
      <c r="E797" s="177"/>
      <c r="F797" s="141"/>
      <c r="G797" s="188" t="s">
        <v>256</v>
      </c>
      <c r="H797" s="177"/>
      <c r="I797" s="177"/>
      <c r="J797" s="177"/>
      <c r="K797" s="173"/>
      <c r="L797" s="173"/>
      <c r="M797" s="177"/>
      <c r="N797" s="177"/>
      <c r="O797" s="177"/>
      <c r="P797" s="177"/>
      <c r="Q797" s="177"/>
      <c r="R797" s="177"/>
      <c r="BE797" s="80"/>
    </row>
    <row r="798" spans="2:18" s="71" customFormat="1" ht="6.75" hidden="1" outlineLevel="2">
      <c r="B798" s="237"/>
      <c r="C798" s="187"/>
      <c r="D798" s="187"/>
      <c r="E798" s="187"/>
      <c r="F798" s="187"/>
      <c r="G798" s="187"/>
      <c r="H798" s="187"/>
      <c r="I798" s="187"/>
      <c r="J798" s="187"/>
      <c r="K798" s="184"/>
      <c r="L798" s="184"/>
      <c r="M798" s="187"/>
      <c r="N798" s="187"/>
      <c r="O798" s="187"/>
      <c r="P798" s="187"/>
      <c r="Q798" s="187"/>
      <c r="R798" s="187"/>
    </row>
    <row r="799" spans="2:57" ht="12.75" hidden="1" outlineLevel="2">
      <c r="B799" s="235"/>
      <c r="C799" s="223" t="s">
        <v>518</v>
      </c>
      <c r="D799" s="177"/>
      <c r="E799" s="177"/>
      <c r="F799" s="141"/>
      <c r="G799" s="188" t="s">
        <v>256</v>
      </c>
      <c r="H799" s="177"/>
      <c r="I799" s="177"/>
      <c r="J799" s="177"/>
      <c r="K799" s="173"/>
      <c r="L799" s="173"/>
      <c r="M799" s="177"/>
      <c r="N799" s="177"/>
      <c r="O799" s="177"/>
      <c r="P799" s="177"/>
      <c r="Q799" s="177"/>
      <c r="R799" s="177"/>
      <c r="BE799" s="71"/>
    </row>
    <row r="800" spans="2:18" s="80" customFormat="1" ht="12" customHeight="1" hidden="1" outlineLevel="2">
      <c r="B800" s="199"/>
      <c r="C800" s="199"/>
      <c r="D800" s="199"/>
      <c r="E800" s="199"/>
      <c r="F800" s="199"/>
      <c r="G800" s="199"/>
      <c r="H800" s="199"/>
      <c r="I800" s="199"/>
      <c r="J800" s="199"/>
      <c r="K800" s="199"/>
      <c r="L800" s="199"/>
      <c r="M800" s="199"/>
      <c r="N800" s="199"/>
      <c r="O800" s="199"/>
      <c r="P800" s="199"/>
      <c r="Q800" s="199"/>
      <c r="R800" s="199"/>
    </row>
    <row r="801" spans="2:57" s="81" customFormat="1" ht="11.25" hidden="1" outlineLevel="1">
      <c r="B801" s="219"/>
      <c r="C801" s="219"/>
      <c r="D801" s="219"/>
      <c r="E801" s="219"/>
      <c r="F801" s="219"/>
      <c r="G801" s="219"/>
      <c r="H801" s="219"/>
      <c r="I801" s="219"/>
      <c r="J801" s="219"/>
      <c r="K801" s="219"/>
      <c r="L801" s="219"/>
      <c r="M801" s="219"/>
      <c r="N801" s="219"/>
      <c r="O801" s="219"/>
      <c r="P801" s="219"/>
      <c r="Q801" s="219"/>
      <c r="R801" s="219"/>
      <c r="BE801" s="71"/>
    </row>
    <row r="802" spans="2:18" ht="12.75" hidden="1" outlineLevel="1">
      <c r="B802" s="177"/>
      <c r="C802" s="198" t="s">
        <v>677</v>
      </c>
      <c r="D802" s="177"/>
      <c r="E802" s="177"/>
      <c r="F802" s="177"/>
      <c r="G802" s="177"/>
      <c r="H802" s="177"/>
      <c r="I802" s="177"/>
      <c r="J802" s="177"/>
      <c r="K802" s="177"/>
      <c r="L802" s="177"/>
      <c r="M802" s="177"/>
      <c r="N802" s="177"/>
      <c r="O802" s="177"/>
      <c r="P802" s="177"/>
      <c r="Q802" s="177"/>
      <c r="R802" s="177"/>
    </row>
    <row r="803" spans="2:18" s="80" customFormat="1" ht="8.25" hidden="1" outlineLevel="2">
      <c r="B803" s="199"/>
      <c r="C803" s="199"/>
      <c r="D803" s="199"/>
      <c r="E803" s="199"/>
      <c r="F803" s="199"/>
      <c r="G803" s="199"/>
      <c r="H803" s="199"/>
      <c r="I803" s="199"/>
      <c r="J803" s="199"/>
      <c r="K803" s="199"/>
      <c r="L803" s="199"/>
      <c r="M803" s="199"/>
      <c r="N803" s="199"/>
      <c r="O803" s="199"/>
      <c r="P803" s="199"/>
      <c r="Q803" s="199"/>
      <c r="R803" s="199"/>
    </row>
    <row r="804" spans="2:18" ht="12.75" hidden="1" outlineLevel="2">
      <c r="B804" s="177"/>
      <c r="C804" s="223" t="s">
        <v>679</v>
      </c>
      <c r="D804" s="177"/>
      <c r="E804" s="177"/>
      <c r="F804" s="177"/>
      <c r="G804" s="177"/>
      <c r="H804" s="177"/>
      <c r="I804" s="177"/>
      <c r="J804" s="177"/>
      <c r="K804" s="177"/>
      <c r="L804" s="177"/>
      <c r="M804" s="177"/>
      <c r="N804" s="177"/>
      <c r="O804" s="177"/>
      <c r="P804" s="177"/>
      <c r="Q804" s="177"/>
      <c r="R804" s="177"/>
    </row>
    <row r="805" spans="2:18" s="71" customFormat="1" ht="6.75" hidden="1" outlineLevel="2">
      <c r="B805" s="187"/>
      <c r="C805" s="187"/>
      <c r="D805" s="187"/>
      <c r="E805" s="187"/>
      <c r="F805" s="187"/>
      <c r="G805" s="187"/>
      <c r="H805" s="187"/>
      <c r="I805" s="187"/>
      <c r="J805" s="187"/>
      <c r="K805" s="187"/>
      <c r="L805" s="187"/>
      <c r="M805" s="187"/>
      <c r="N805" s="187"/>
      <c r="O805" s="187"/>
      <c r="P805" s="187"/>
      <c r="Q805" s="187"/>
      <c r="R805" s="187"/>
    </row>
    <row r="806" spans="2:18" ht="12.75" hidden="1" outlineLevel="2">
      <c r="B806" s="177"/>
      <c r="C806" s="339" t="s">
        <v>265</v>
      </c>
      <c r="D806" s="340"/>
      <c r="E806" s="177"/>
      <c r="F806" s="177"/>
      <c r="G806" s="177"/>
      <c r="H806" s="177"/>
      <c r="I806" s="177"/>
      <c r="J806" s="177"/>
      <c r="K806" s="177"/>
      <c r="L806" s="177"/>
      <c r="M806" s="177"/>
      <c r="N806" s="177"/>
      <c r="O806" s="177"/>
      <c r="P806" s="177"/>
      <c r="Q806" s="177"/>
      <c r="R806" s="177"/>
    </row>
    <row r="807" spans="2:18" s="71" customFormat="1" ht="6.75" hidden="1" outlineLevel="2">
      <c r="B807" s="187"/>
      <c r="C807" s="253"/>
      <c r="D807" s="253"/>
      <c r="E807" s="187"/>
      <c r="F807" s="187"/>
      <c r="G807" s="187"/>
      <c r="H807" s="187"/>
      <c r="I807" s="187"/>
      <c r="J807" s="187"/>
      <c r="K807" s="187"/>
      <c r="L807" s="187"/>
      <c r="M807" s="187"/>
      <c r="N807" s="187"/>
      <c r="O807" s="187"/>
      <c r="P807" s="187"/>
      <c r="Q807" s="187"/>
      <c r="R807" s="187"/>
    </row>
    <row r="808" spans="2:18" ht="12.75" hidden="1" outlineLevel="2">
      <c r="B808" s="177"/>
      <c r="C808" s="223" t="s">
        <v>405</v>
      </c>
      <c r="D808" s="254"/>
      <c r="E808" s="177"/>
      <c r="F808" s="177"/>
      <c r="G808" s="177"/>
      <c r="H808" s="318">
        <f>I775+I777+I779</f>
        <v>0</v>
      </c>
      <c r="I808" s="223" t="s">
        <v>18</v>
      </c>
      <c r="J808" s="177"/>
      <c r="K808" s="177"/>
      <c r="L808" s="177"/>
      <c r="M808" s="177"/>
      <c r="N808" s="177"/>
      <c r="O808" s="177"/>
      <c r="P808" s="177"/>
      <c r="Q808" s="177"/>
      <c r="R808" s="177"/>
    </row>
    <row r="809" spans="2:57" s="71" customFormat="1" ht="8.25" hidden="1" outlineLevel="2">
      <c r="B809" s="187"/>
      <c r="C809" s="214"/>
      <c r="D809" s="253"/>
      <c r="E809" s="187"/>
      <c r="F809" s="187"/>
      <c r="G809" s="187"/>
      <c r="H809" s="187"/>
      <c r="I809" s="187"/>
      <c r="J809" s="187"/>
      <c r="K809" s="187"/>
      <c r="L809" s="187"/>
      <c r="M809" s="187"/>
      <c r="N809" s="187"/>
      <c r="O809" s="187"/>
      <c r="P809" s="187"/>
      <c r="Q809" s="187"/>
      <c r="R809" s="187"/>
      <c r="BE809" s="80"/>
    </row>
    <row r="810" spans="1:57" s="83" customFormat="1" ht="12.75" hidden="1" outlineLevel="2">
      <c r="A810" s="77"/>
      <c r="B810" s="202"/>
      <c r="C810" s="200" t="s">
        <v>684</v>
      </c>
      <c r="D810" s="215"/>
      <c r="E810" s="215"/>
      <c r="F810" s="215"/>
      <c r="G810" s="215"/>
      <c r="H810" s="309"/>
      <c r="I810" s="188" t="s">
        <v>685</v>
      </c>
      <c r="J810" s="215"/>
      <c r="K810" s="215"/>
      <c r="L810" s="215"/>
      <c r="M810" s="215"/>
      <c r="N810" s="215"/>
      <c r="O810" s="215"/>
      <c r="P810" s="215"/>
      <c r="Q810" s="215"/>
      <c r="R810" s="215"/>
      <c r="BE810" s="81"/>
    </row>
    <row r="811" spans="2:18" s="71" customFormat="1" ht="6.75" hidden="1" outlineLevel="2">
      <c r="B811" s="187"/>
      <c r="C811" s="214"/>
      <c r="D811" s="253"/>
      <c r="E811" s="187"/>
      <c r="F811" s="187"/>
      <c r="G811" s="187"/>
      <c r="H811" s="187"/>
      <c r="I811" s="187"/>
      <c r="J811" s="187"/>
      <c r="K811" s="187"/>
      <c r="L811" s="187"/>
      <c r="M811" s="187"/>
      <c r="N811" s="187"/>
      <c r="O811" s="187"/>
      <c r="P811" s="187"/>
      <c r="Q811" s="187"/>
      <c r="R811" s="187"/>
    </row>
    <row r="812" spans="1:57" s="83" customFormat="1" ht="12.75" hidden="1" outlineLevel="2">
      <c r="A812" s="77"/>
      <c r="B812" s="202"/>
      <c r="C812" s="200" t="s">
        <v>683</v>
      </c>
      <c r="D812" s="254"/>
      <c r="E812" s="215"/>
      <c r="F812" s="215"/>
      <c r="G812" s="215"/>
      <c r="H812" s="309"/>
      <c r="I812" s="188" t="s">
        <v>688</v>
      </c>
      <c r="J812" s="215"/>
      <c r="K812" s="215"/>
      <c r="L812" s="215"/>
      <c r="M812" s="215"/>
      <c r="N812" s="215"/>
      <c r="O812" s="215"/>
      <c r="P812" s="215"/>
      <c r="Q812" s="215"/>
      <c r="R812" s="215"/>
      <c r="BE812" s="80"/>
    </row>
    <row r="813" spans="2:18" s="71" customFormat="1" ht="6.75" hidden="1" outlineLevel="2">
      <c r="B813" s="187"/>
      <c r="C813" s="214"/>
      <c r="D813" s="253"/>
      <c r="E813" s="187"/>
      <c r="F813" s="187"/>
      <c r="G813" s="231"/>
      <c r="H813" s="194"/>
      <c r="I813" s="187"/>
      <c r="J813" s="187"/>
      <c r="K813" s="187"/>
      <c r="L813" s="187"/>
      <c r="M813" s="187"/>
      <c r="N813" s="187"/>
      <c r="O813" s="187"/>
      <c r="P813" s="187"/>
      <c r="Q813" s="187"/>
      <c r="R813" s="187"/>
    </row>
    <row r="814" spans="2:57" ht="12.75" hidden="1" outlineLevel="2">
      <c r="B814" s="177"/>
      <c r="C814" s="296"/>
      <c r="D814" s="296"/>
      <c r="E814" s="296"/>
      <c r="F814" s="296"/>
      <c r="G814" s="296"/>
      <c r="H814" s="297"/>
      <c r="I814" s="298"/>
      <c r="J814" s="177"/>
      <c r="K814" s="177"/>
      <c r="L814" s="177"/>
      <c r="M814" s="177"/>
      <c r="N814" s="177"/>
      <c r="O814" s="177"/>
      <c r="P814" s="177"/>
      <c r="Q814" s="177"/>
      <c r="R814" s="177"/>
      <c r="BE814" s="71"/>
    </row>
    <row r="815" spans="2:18" s="80" customFormat="1" ht="8.25" hidden="1" outlineLevel="2">
      <c r="B815" s="199"/>
      <c r="C815" s="199"/>
      <c r="D815" s="199"/>
      <c r="E815" s="199"/>
      <c r="F815" s="199"/>
      <c r="G815" s="199"/>
      <c r="H815" s="199"/>
      <c r="I815" s="199"/>
      <c r="J815" s="199"/>
      <c r="K815" s="199"/>
      <c r="L815" s="199"/>
      <c r="M815" s="199"/>
      <c r="N815" s="199"/>
      <c r="O815" s="199"/>
      <c r="P815" s="199"/>
      <c r="Q815" s="199"/>
      <c r="R815" s="199"/>
    </row>
    <row r="816" spans="2:57" s="81" customFormat="1" ht="11.25" hidden="1" outlineLevel="1">
      <c r="B816" s="219"/>
      <c r="C816" s="219"/>
      <c r="D816" s="219"/>
      <c r="E816" s="219"/>
      <c r="F816" s="219"/>
      <c r="G816" s="219"/>
      <c r="H816" s="219"/>
      <c r="I816" s="219"/>
      <c r="J816" s="219"/>
      <c r="K816" s="219"/>
      <c r="L816" s="219"/>
      <c r="M816" s="219"/>
      <c r="N816" s="219"/>
      <c r="O816" s="219"/>
      <c r="P816" s="219"/>
      <c r="Q816" s="219"/>
      <c r="R816" s="219"/>
      <c r="BE816" s="71"/>
    </row>
    <row r="817" spans="2:18" ht="12.75" hidden="1" outlineLevel="1">
      <c r="B817" s="177"/>
      <c r="C817" s="198" t="s">
        <v>334</v>
      </c>
      <c r="D817" s="177"/>
      <c r="E817" s="177"/>
      <c r="F817" s="177"/>
      <c r="G817" s="177"/>
      <c r="H817" s="177"/>
      <c r="I817" s="177"/>
      <c r="J817" s="177"/>
      <c r="K817" s="177"/>
      <c r="L817" s="177"/>
      <c r="M817" s="177"/>
      <c r="N817" s="177"/>
      <c r="O817" s="177"/>
      <c r="P817" s="177"/>
      <c r="Q817" s="177"/>
      <c r="R817" s="177"/>
    </row>
    <row r="818" spans="2:57" s="80" customFormat="1" ht="8.25" hidden="1" outlineLevel="2">
      <c r="B818" s="199"/>
      <c r="C818" s="199"/>
      <c r="D818" s="199"/>
      <c r="E818" s="199"/>
      <c r="F818" s="199"/>
      <c r="G818" s="199"/>
      <c r="H818" s="199"/>
      <c r="I818" s="199"/>
      <c r="J818" s="199"/>
      <c r="K818" s="199"/>
      <c r="L818" s="199"/>
      <c r="M818" s="199"/>
      <c r="N818" s="199"/>
      <c r="O818" s="199"/>
      <c r="P818" s="199"/>
      <c r="Q818" s="199"/>
      <c r="R818" s="199"/>
      <c r="BE818" s="71"/>
    </row>
    <row r="819" spans="2:57" ht="12.75" hidden="1" outlineLevel="2">
      <c r="B819" s="177"/>
      <c r="C819" s="200" t="s">
        <v>289</v>
      </c>
      <c r="D819" s="177"/>
      <c r="E819" s="177"/>
      <c r="F819" s="177"/>
      <c r="G819" s="177"/>
      <c r="H819" s="177"/>
      <c r="I819" s="177"/>
      <c r="J819" s="177"/>
      <c r="K819" s="177"/>
      <c r="L819" s="177"/>
      <c r="M819" s="177"/>
      <c r="N819" s="177"/>
      <c r="O819" s="177"/>
      <c r="P819" s="177"/>
      <c r="Q819" s="177"/>
      <c r="R819" s="177"/>
      <c r="BE819" s="83"/>
    </row>
    <row r="820" spans="2:18" s="71" customFormat="1" ht="6.75" hidden="1" outlineLevel="2">
      <c r="B820" s="187"/>
      <c r="C820" s="187"/>
      <c r="D820" s="187"/>
      <c r="E820" s="187"/>
      <c r="F820" s="187"/>
      <c r="G820" s="187"/>
      <c r="H820" s="187"/>
      <c r="I820" s="187"/>
      <c r="J820" s="187"/>
      <c r="K820" s="187"/>
      <c r="L820" s="187"/>
      <c r="M820" s="187"/>
      <c r="N820" s="187"/>
      <c r="O820" s="187"/>
      <c r="P820" s="187"/>
      <c r="Q820" s="187"/>
      <c r="R820" s="187"/>
    </row>
    <row r="821" spans="2:57" ht="12.75" hidden="1" outlineLevel="2">
      <c r="B821" s="177"/>
      <c r="C821" s="141"/>
      <c r="D821" s="188" t="s">
        <v>254</v>
      </c>
      <c r="E821" s="177"/>
      <c r="F821" s="177"/>
      <c r="G821" s="177"/>
      <c r="H821" s="177"/>
      <c r="I821" s="177"/>
      <c r="J821" s="177"/>
      <c r="K821" s="177"/>
      <c r="L821" s="177"/>
      <c r="M821" s="177"/>
      <c r="N821" s="177"/>
      <c r="O821" s="177"/>
      <c r="P821" s="177"/>
      <c r="Q821" s="177"/>
      <c r="R821" s="177"/>
      <c r="BE821" s="83"/>
    </row>
    <row r="822" spans="2:57" s="75" customFormat="1" ht="8.25" hidden="1" outlineLevel="2">
      <c r="B822" s="192"/>
      <c r="C822" s="192"/>
      <c r="D822" s="192"/>
      <c r="E822" s="192"/>
      <c r="F822" s="192"/>
      <c r="G822" s="192"/>
      <c r="H822" s="192"/>
      <c r="I822" s="192"/>
      <c r="J822" s="192"/>
      <c r="K822" s="192"/>
      <c r="L822" s="192"/>
      <c r="M822" s="192"/>
      <c r="N822" s="192"/>
      <c r="O822" s="192"/>
      <c r="P822" s="192"/>
      <c r="Q822" s="192"/>
      <c r="R822" s="192"/>
      <c r="BE822" s="71"/>
    </row>
    <row r="823" spans="2:18" ht="12.75" hidden="1" outlineLevel="2">
      <c r="B823" s="177"/>
      <c r="C823" s="200" t="s">
        <v>305</v>
      </c>
      <c r="D823" s="177"/>
      <c r="E823" s="177"/>
      <c r="F823" s="177"/>
      <c r="G823" s="177"/>
      <c r="H823" s="177"/>
      <c r="I823" s="177"/>
      <c r="J823" s="177"/>
      <c r="K823" s="177"/>
      <c r="L823" s="177"/>
      <c r="M823" s="177"/>
      <c r="N823" s="177"/>
      <c r="O823" s="177"/>
      <c r="P823" s="177"/>
      <c r="Q823" s="177"/>
      <c r="R823" s="177"/>
    </row>
    <row r="824" spans="2:57" s="71" customFormat="1" ht="8.25" hidden="1" outlineLevel="2">
      <c r="B824" s="187"/>
      <c r="C824" s="187"/>
      <c r="D824" s="187"/>
      <c r="E824" s="187"/>
      <c r="F824" s="187"/>
      <c r="G824" s="187"/>
      <c r="H824" s="187"/>
      <c r="I824" s="187"/>
      <c r="J824" s="187"/>
      <c r="K824" s="187"/>
      <c r="L824" s="187"/>
      <c r="M824" s="187"/>
      <c r="N824" s="187"/>
      <c r="O824" s="187"/>
      <c r="P824" s="187"/>
      <c r="Q824" s="187"/>
      <c r="R824" s="187"/>
      <c r="BE824" s="80"/>
    </row>
    <row r="825" spans="2:57" ht="12.75" hidden="1" outlineLevel="2">
      <c r="B825" s="177"/>
      <c r="C825" s="141"/>
      <c r="D825" s="224" t="s">
        <v>257</v>
      </c>
      <c r="E825" s="177"/>
      <c r="F825" s="177"/>
      <c r="G825" s="177"/>
      <c r="H825" s="177"/>
      <c r="I825" s="177"/>
      <c r="J825" s="177"/>
      <c r="K825" s="177"/>
      <c r="L825" s="177"/>
      <c r="M825" s="177"/>
      <c r="N825" s="177"/>
      <c r="O825" s="177"/>
      <c r="P825" s="177"/>
      <c r="Q825" s="177"/>
      <c r="R825" s="177"/>
      <c r="BE825" s="81"/>
    </row>
    <row r="826" spans="2:18" s="75" customFormat="1" ht="8.25" hidden="1" outlineLevel="2">
      <c r="B826" s="192"/>
      <c r="C826" s="192"/>
      <c r="D826" s="192"/>
      <c r="E826" s="192"/>
      <c r="F826" s="192"/>
      <c r="G826" s="192"/>
      <c r="H826" s="192"/>
      <c r="I826" s="192"/>
      <c r="J826" s="192"/>
      <c r="K826" s="192"/>
      <c r="L826" s="192"/>
      <c r="M826" s="192"/>
      <c r="N826" s="192"/>
      <c r="O826" s="192"/>
      <c r="P826" s="192"/>
      <c r="Q826" s="192"/>
      <c r="R826" s="192"/>
    </row>
    <row r="827" spans="2:57" ht="12.75" hidden="1" outlineLevel="2">
      <c r="B827" s="177"/>
      <c r="C827" s="200" t="s">
        <v>306</v>
      </c>
      <c r="D827" s="177"/>
      <c r="E827" s="177"/>
      <c r="F827" s="177"/>
      <c r="G827" s="177"/>
      <c r="H827" s="177"/>
      <c r="I827" s="177"/>
      <c r="J827" s="177"/>
      <c r="K827" s="177"/>
      <c r="L827" s="177"/>
      <c r="M827" s="177"/>
      <c r="N827" s="177"/>
      <c r="O827" s="177"/>
      <c r="P827" s="177"/>
      <c r="Q827" s="177"/>
      <c r="R827" s="177"/>
      <c r="BE827" s="80"/>
    </row>
    <row r="828" spans="2:18" s="71" customFormat="1" ht="6.75" hidden="1" outlineLevel="2">
      <c r="B828" s="187"/>
      <c r="C828" s="187"/>
      <c r="D828" s="187"/>
      <c r="E828" s="187"/>
      <c r="F828" s="187"/>
      <c r="G828" s="187"/>
      <c r="H828" s="187"/>
      <c r="I828" s="187"/>
      <c r="J828" s="187"/>
      <c r="K828" s="187"/>
      <c r="L828" s="187"/>
      <c r="M828" s="187"/>
      <c r="N828" s="187"/>
      <c r="O828" s="187"/>
      <c r="P828" s="187"/>
      <c r="Q828" s="187"/>
      <c r="R828" s="187"/>
    </row>
    <row r="829" spans="2:57" ht="12.75" hidden="1" outlineLevel="2">
      <c r="B829" s="177"/>
      <c r="C829" s="279">
        <f>IF(F829="Vrachtwagen",1/4,IF(F829="Bus / transporter",1/9,IF(F829="Bus met aanhanger",1/7,IF(F829="Personenauto",1/11,0))))</f>
        <v>0</v>
      </c>
      <c r="D829" s="188" t="s">
        <v>307</v>
      </c>
      <c r="E829" s="177"/>
      <c r="F829" s="324" t="s">
        <v>265</v>
      </c>
      <c r="G829" s="325"/>
      <c r="H829" s="224" t="s">
        <v>768</v>
      </c>
      <c r="I829" s="177"/>
      <c r="J829" s="177"/>
      <c r="K829" s="177"/>
      <c r="L829" s="177"/>
      <c r="M829" s="177"/>
      <c r="N829" s="177"/>
      <c r="O829" s="177"/>
      <c r="P829" s="177"/>
      <c r="Q829" s="177"/>
      <c r="R829" s="177"/>
      <c r="BE829" s="71"/>
    </row>
    <row r="830" spans="2:18" s="75" customFormat="1" ht="8.25" hidden="1" outlineLevel="2">
      <c r="B830" s="192"/>
      <c r="C830" s="192"/>
      <c r="D830" s="192"/>
      <c r="E830" s="192"/>
      <c r="F830" s="192"/>
      <c r="G830" s="192"/>
      <c r="H830" s="192"/>
      <c r="I830" s="192"/>
      <c r="J830" s="192"/>
      <c r="K830" s="192"/>
      <c r="L830" s="192"/>
      <c r="M830" s="192"/>
      <c r="N830" s="192"/>
      <c r="O830" s="192"/>
      <c r="P830" s="192"/>
      <c r="Q830" s="192"/>
      <c r="R830" s="192"/>
    </row>
    <row r="831" spans="2:57" ht="12.75" hidden="1" outlineLevel="2">
      <c r="B831" s="177"/>
      <c r="C831" s="200" t="s">
        <v>308</v>
      </c>
      <c r="D831" s="177"/>
      <c r="E831" s="177"/>
      <c r="F831" s="177"/>
      <c r="G831" s="177"/>
      <c r="H831" s="177"/>
      <c r="I831" s="177"/>
      <c r="J831" s="177"/>
      <c r="K831" s="177"/>
      <c r="L831" s="177"/>
      <c r="M831" s="177"/>
      <c r="N831" s="177"/>
      <c r="O831" s="177"/>
      <c r="P831" s="177"/>
      <c r="Q831" s="177"/>
      <c r="R831" s="177"/>
      <c r="BE831" s="75"/>
    </row>
    <row r="832" spans="2:18" s="71" customFormat="1" ht="6.75" hidden="1" outlineLevel="2">
      <c r="B832" s="187"/>
      <c r="C832" s="187"/>
      <c r="D832" s="187"/>
      <c r="E832" s="187"/>
      <c r="F832" s="187"/>
      <c r="G832" s="187"/>
      <c r="H832" s="187"/>
      <c r="I832" s="187"/>
      <c r="J832" s="187"/>
      <c r="K832" s="187"/>
      <c r="L832" s="187"/>
      <c r="M832" s="187"/>
      <c r="N832" s="187"/>
      <c r="O832" s="187"/>
      <c r="P832" s="187"/>
      <c r="Q832" s="187"/>
      <c r="R832" s="187"/>
    </row>
    <row r="833" spans="2:57" ht="12.75" hidden="1" outlineLevel="2">
      <c r="B833" s="177"/>
      <c r="C833" s="324" t="s">
        <v>265</v>
      </c>
      <c r="D833" s="325"/>
      <c r="E833" s="177"/>
      <c r="F833" s="177"/>
      <c r="G833" s="177"/>
      <c r="H833" s="177"/>
      <c r="I833" s="177"/>
      <c r="J833" s="177"/>
      <c r="K833" s="177"/>
      <c r="L833" s="177"/>
      <c r="M833" s="177"/>
      <c r="N833" s="177"/>
      <c r="O833" s="177"/>
      <c r="P833" s="177"/>
      <c r="Q833" s="177"/>
      <c r="R833" s="177"/>
      <c r="BE833" s="71"/>
    </row>
    <row r="834" spans="2:18" s="75" customFormat="1" ht="8.25" hidden="1" outlineLevel="2">
      <c r="B834" s="192"/>
      <c r="C834" s="255"/>
      <c r="D834" s="255"/>
      <c r="E834" s="192"/>
      <c r="F834" s="192"/>
      <c r="G834" s="192"/>
      <c r="H834" s="192"/>
      <c r="I834" s="192"/>
      <c r="J834" s="192"/>
      <c r="K834" s="192"/>
      <c r="L834" s="192"/>
      <c r="M834" s="192"/>
      <c r="N834" s="192"/>
      <c r="O834" s="192"/>
      <c r="P834" s="192"/>
      <c r="Q834" s="192"/>
      <c r="R834" s="192"/>
    </row>
    <row r="835" spans="2:57" s="81" customFormat="1" ht="11.25" hidden="1" outlineLevel="1">
      <c r="B835" s="219"/>
      <c r="C835" s="233"/>
      <c r="D835" s="233"/>
      <c r="E835" s="219"/>
      <c r="F835" s="219"/>
      <c r="G835" s="219"/>
      <c r="H835" s="219"/>
      <c r="I835" s="219"/>
      <c r="J835" s="219"/>
      <c r="K835" s="219"/>
      <c r="L835" s="219"/>
      <c r="M835" s="219"/>
      <c r="N835" s="219"/>
      <c r="O835" s="219"/>
      <c r="P835" s="219"/>
      <c r="Q835" s="219"/>
      <c r="R835" s="219"/>
      <c r="BE835" s="75"/>
    </row>
    <row r="836" spans="2:18" ht="12.75">
      <c r="B836" s="177"/>
      <c r="C836" s="177"/>
      <c r="D836" s="177"/>
      <c r="E836" s="177"/>
      <c r="F836" s="177"/>
      <c r="G836" s="177"/>
      <c r="H836" s="177"/>
      <c r="I836" s="177"/>
      <c r="J836" s="177"/>
      <c r="K836" s="177"/>
      <c r="L836" s="177"/>
      <c r="M836" s="177"/>
      <c r="N836" s="177"/>
      <c r="O836" s="177"/>
      <c r="P836" s="177"/>
      <c r="Q836" s="177"/>
      <c r="R836" s="177"/>
    </row>
    <row r="837" spans="2:57" ht="18">
      <c r="B837" s="197" t="s">
        <v>605</v>
      </c>
      <c r="C837" s="177"/>
      <c r="D837" s="177"/>
      <c r="E837" s="177"/>
      <c r="F837" s="177"/>
      <c r="G837" s="177"/>
      <c r="H837" s="177"/>
      <c r="I837" s="177"/>
      <c r="J837" s="177"/>
      <c r="K837" s="177"/>
      <c r="L837" s="177"/>
      <c r="M837" s="177"/>
      <c r="N837" s="177"/>
      <c r="O837" s="177"/>
      <c r="P837" s="177"/>
      <c r="Q837" s="177"/>
      <c r="R837" s="177"/>
      <c r="BE837" s="71"/>
    </row>
    <row r="838" spans="2:18" ht="12.75">
      <c r="B838" s="177"/>
      <c r="C838" s="177"/>
      <c r="D838" s="177"/>
      <c r="E838" s="177"/>
      <c r="F838" s="177"/>
      <c r="G838" s="177"/>
      <c r="H838" s="177"/>
      <c r="I838" s="177"/>
      <c r="J838" s="177"/>
      <c r="K838" s="177"/>
      <c r="L838" s="177"/>
      <c r="M838" s="177"/>
      <c r="N838" s="177"/>
      <c r="O838" s="177"/>
      <c r="P838" s="177"/>
      <c r="Q838" s="177"/>
      <c r="R838" s="177"/>
    </row>
    <row r="839" spans="2:57" ht="12.75" hidden="1" outlineLevel="1">
      <c r="B839" s="177"/>
      <c r="C839" s="198" t="s">
        <v>569</v>
      </c>
      <c r="D839" s="177"/>
      <c r="E839" s="177"/>
      <c r="F839" s="177"/>
      <c r="G839" s="177"/>
      <c r="H839" s="177"/>
      <c r="I839" s="177"/>
      <c r="J839" s="177"/>
      <c r="K839" s="177"/>
      <c r="L839" s="177"/>
      <c r="M839" s="177"/>
      <c r="N839" s="177"/>
      <c r="O839" s="177"/>
      <c r="P839" s="177"/>
      <c r="Q839" s="177"/>
      <c r="R839" s="177"/>
      <c r="BE839" s="75"/>
    </row>
    <row r="840" spans="2:18" s="80" customFormat="1" ht="8.25" hidden="1" outlineLevel="2">
      <c r="B840" s="199"/>
      <c r="C840" s="199"/>
      <c r="D840" s="199"/>
      <c r="E840" s="199"/>
      <c r="F840" s="199"/>
      <c r="G840" s="199"/>
      <c r="H840" s="199"/>
      <c r="I840" s="199"/>
      <c r="J840" s="199"/>
      <c r="K840" s="199"/>
      <c r="L840" s="199"/>
      <c r="M840" s="199"/>
      <c r="N840" s="199"/>
      <c r="O840" s="199"/>
      <c r="P840" s="199"/>
      <c r="Q840" s="199"/>
      <c r="R840" s="199"/>
    </row>
    <row r="841" spans="2:57" ht="12.75" hidden="1" outlineLevel="2">
      <c r="B841" s="177"/>
      <c r="C841" s="222" t="s">
        <v>570</v>
      </c>
      <c r="D841" s="177"/>
      <c r="E841" s="177"/>
      <c r="F841" s="177"/>
      <c r="G841" s="177"/>
      <c r="H841" s="177"/>
      <c r="I841" s="177"/>
      <c r="J841" s="177"/>
      <c r="K841" s="177"/>
      <c r="L841" s="177"/>
      <c r="M841" s="177"/>
      <c r="N841" s="177"/>
      <c r="O841" s="177"/>
      <c r="P841" s="177"/>
      <c r="Q841" s="177"/>
      <c r="R841" s="177"/>
      <c r="BE841" s="71"/>
    </row>
    <row r="842" spans="2:18" s="71" customFormat="1" ht="6.75" hidden="1" outlineLevel="2">
      <c r="B842" s="187"/>
      <c r="C842" s="187"/>
      <c r="D842" s="187"/>
      <c r="E842" s="187"/>
      <c r="F842" s="187"/>
      <c r="G842" s="187"/>
      <c r="H842" s="187"/>
      <c r="I842" s="187"/>
      <c r="J842" s="187"/>
      <c r="K842" s="187"/>
      <c r="L842" s="187"/>
      <c r="M842" s="187"/>
      <c r="N842" s="187"/>
      <c r="O842" s="187"/>
      <c r="P842" s="187"/>
      <c r="Q842" s="187"/>
      <c r="R842" s="187"/>
    </row>
    <row r="843" spans="2:57" ht="12.75" hidden="1" outlineLevel="2">
      <c r="B843" s="177"/>
      <c r="C843" s="223" t="s">
        <v>571</v>
      </c>
      <c r="D843" s="177"/>
      <c r="E843" s="141"/>
      <c r="F843" s="188" t="s">
        <v>253</v>
      </c>
      <c r="G843" s="177"/>
      <c r="H843" s="177"/>
      <c r="I843" s="177"/>
      <c r="J843" s="177"/>
      <c r="K843" s="177"/>
      <c r="L843" s="177"/>
      <c r="M843" s="177"/>
      <c r="N843" s="177"/>
      <c r="O843" s="177"/>
      <c r="P843" s="177"/>
      <c r="Q843" s="177"/>
      <c r="R843" s="177"/>
      <c r="BE843" s="75"/>
    </row>
    <row r="844" spans="2:18" s="71" customFormat="1" ht="6.75" hidden="1" outlineLevel="2">
      <c r="B844" s="187"/>
      <c r="C844" s="187"/>
      <c r="D844" s="187"/>
      <c r="E844" s="187"/>
      <c r="F844" s="187"/>
      <c r="G844" s="187"/>
      <c r="H844" s="187"/>
      <c r="I844" s="187"/>
      <c r="J844" s="187"/>
      <c r="K844" s="187"/>
      <c r="L844" s="187"/>
      <c r="M844" s="187"/>
      <c r="N844" s="187"/>
      <c r="O844" s="187"/>
      <c r="P844" s="187"/>
      <c r="Q844" s="187"/>
      <c r="R844" s="187"/>
    </row>
    <row r="845" spans="2:18" ht="12.75" hidden="1" outlineLevel="2">
      <c r="B845" s="177"/>
      <c r="C845" s="223" t="s">
        <v>289</v>
      </c>
      <c r="D845" s="177"/>
      <c r="E845" s="141"/>
      <c r="F845" s="188" t="s">
        <v>254</v>
      </c>
      <c r="G845" s="177"/>
      <c r="H845" s="177"/>
      <c r="I845" s="177"/>
      <c r="J845" s="177"/>
      <c r="K845" s="177"/>
      <c r="L845" s="177"/>
      <c r="M845" s="177"/>
      <c r="N845" s="177"/>
      <c r="O845" s="177"/>
      <c r="P845" s="177"/>
      <c r="Q845" s="177"/>
      <c r="R845" s="177"/>
    </row>
    <row r="846" spans="2:18" s="71" customFormat="1" ht="6.75" hidden="1" outlineLevel="2">
      <c r="B846" s="187"/>
      <c r="C846" s="187"/>
      <c r="D846" s="187"/>
      <c r="E846" s="187"/>
      <c r="F846" s="187"/>
      <c r="G846" s="187"/>
      <c r="H846" s="187"/>
      <c r="I846" s="187"/>
      <c r="J846" s="187"/>
      <c r="K846" s="187"/>
      <c r="L846" s="187"/>
      <c r="M846" s="187"/>
      <c r="N846" s="187"/>
      <c r="O846" s="187"/>
      <c r="P846" s="187"/>
      <c r="Q846" s="187"/>
      <c r="R846" s="187"/>
    </row>
    <row r="847" spans="2:18" ht="12.75" hidden="1" outlineLevel="2">
      <c r="B847" s="177"/>
      <c r="C847" s="223" t="s">
        <v>572</v>
      </c>
      <c r="D847" s="177"/>
      <c r="E847" s="279">
        <f>IF(H847="Vrachtwagen",1/4,IF(H847="Bus / transporter",1/9,IF(H847="Bus met aanhanger",1/7,IF(H847="Personenauto",1/11,0))))</f>
        <v>0</v>
      </c>
      <c r="F847" s="188" t="s">
        <v>307</v>
      </c>
      <c r="G847" s="177"/>
      <c r="H847" s="324" t="s">
        <v>265</v>
      </c>
      <c r="I847" s="325"/>
      <c r="J847" s="224" t="s">
        <v>768</v>
      </c>
      <c r="K847" s="177"/>
      <c r="L847" s="177"/>
      <c r="M847" s="177"/>
      <c r="N847" s="177"/>
      <c r="O847" s="177"/>
      <c r="P847" s="177"/>
      <c r="Q847" s="177"/>
      <c r="R847" s="177"/>
    </row>
    <row r="848" spans="2:18" s="71" customFormat="1" ht="6.75" hidden="1" outlineLevel="2">
      <c r="B848" s="187"/>
      <c r="C848" s="187"/>
      <c r="D848" s="187"/>
      <c r="E848" s="187"/>
      <c r="F848" s="187"/>
      <c r="G848" s="187"/>
      <c r="H848" s="187"/>
      <c r="I848" s="187"/>
      <c r="J848" s="187"/>
      <c r="K848" s="187"/>
      <c r="L848" s="187"/>
      <c r="M848" s="187"/>
      <c r="N848" s="187"/>
      <c r="O848" s="187"/>
      <c r="P848" s="187"/>
      <c r="Q848" s="187"/>
      <c r="R848" s="187"/>
    </row>
    <row r="849" spans="2:57" ht="12.75" hidden="1" outlineLevel="2">
      <c r="B849" s="177"/>
      <c r="C849" s="223" t="s">
        <v>308</v>
      </c>
      <c r="D849" s="177"/>
      <c r="E849" s="324" t="s">
        <v>265</v>
      </c>
      <c r="F849" s="325"/>
      <c r="G849" s="177"/>
      <c r="H849" s="177"/>
      <c r="I849" s="177"/>
      <c r="J849" s="177"/>
      <c r="K849" s="177"/>
      <c r="L849" s="177"/>
      <c r="M849" s="177"/>
      <c r="N849" s="177"/>
      <c r="O849" s="177"/>
      <c r="P849" s="177"/>
      <c r="Q849" s="177"/>
      <c r="R849" s="177"/>
      <c r="BE849" s="80"/>
    </row>
    <row r="850" spans="2:18" s="80" customFormat="1" ht="8.25" hidden="1" outlineLevel="2">
      <c r="B850" s="199"/>
      <c r="C850" s="199"/>
      <c r="D850" s="199"/>
      <c r="E850" s="199"/>
      <c r="F850" s="199"/>
      <c r="G850" s="199"/>
      <c r="H850" s="199"/>
      <c r="I850" s="199"/>
      <c r="J850" s="199"/>
      <c r="K850" s="199"/>
      <c r="L850" s="199"/>
      <c r="M850" s="199"/>
      <c r="N850" s="199"/>
      <c r="O850" s="199"/>
      <c r="P850" s="199"/>
      <c r="Q850" s="199"/>
      <c r="R850" s="199"/>
    </row>
    <row r="851" spans="2:57" ht="12.75" hidden="1" outlineLevel="2">
      <c r="B851" s="177"/>
      <c r="C851" s="222" t="s">
        <v>573</v>
      </c>
      <c r="D851" s="177"/>
      <c r="E851" s="177"/>
      <c r="F851" s="177"/>
      <c r="G851" s="177"/>
      <c r="H851" s="177"/>
      <c r="I851" s="177"/>
      <c r="J851" s="177"/>
      <c r="K851" s="177"/>
      <c r="L851" s="177"/>
      <c r="M851" s="177"/>
      <c r="N851" s="177"/>
      <c r="O851" s="177"/>
      <c r="P851" s="177"/>
      <c r="Q851" s="177"/>
      <c r="R851" s="177"/>
      <c r="BE851" s="71"/>
    </row>
    <row r="852" spans="2:18" s="71" customFormat="1" ht="6.75" hidden="1" outlineLevel="2">
      <c r="B852" s="187"/>
      <c r="C852" s="187"/>
      <c r="D852" s="187"/>
      <c r="E852" s="187"/>
      <c r="F852" s="187"/>
      <c r="G852" s="187"/>
      <c r="H852" s="187"/>
      <c r="I852" s="187"/>
      <c r="J852" s="187"/>
      <c r="K852" s="187"/>
      <c r="L852" s="187"/>
      <c r="M852" s="187"/>
      <c r="N852" s="187"/>
      <c r="O852" s="187"/>
      <c r="P852" s="187"/>
      <c r="Q852" s="187"/>
      <c r="R852" s="187"/>
    </row>
    <row r="853" spans="2:57" ht="12.75" hidden="1" outlineLevel="2">
      <c r="B853" s="177"/>
      <c r="C853" s="223" t="s">
        <v>571</v>
      </c>
      <c r="D853" s="177"/>
      <c r="E853" s="141"/>
      <c r="F853" s="188" t="s">
        <v>253</v>
      </c>
      <c r="G853" s="177"/>
      <c r="H853" s="177"/>
      <c r="I853" s="177"/>
      <c r="J853" s="177"/>
      <c r="K853" s="177"/>
      <c r="L853" s="177"/>
      <c r="M853" s="177"/>
      <c r="N853" s="177"/>
      <c r="O853" s="177"/>
      <c r="P853" s="177"/>
      <c r="Q853" s="177"/>
      <c r="R853" s="177"/>
      <c r="BE853" s="71"/>
    </row>
    <row r="854" spans="2:18" s="71" customFormat="1" ht="6.75" hidden="1" outlineLevel="2">
      <c r="B854" s="187"/>
      <c r="C854" s="187"/>
      <c r="D854" s="187"/>
      <c r="E854" s="187"/>
      <c r="F854" s="187"/>
      <c r="G854" s="187"/>
      <c r="H854" s="187"/>
      <c r="I854" s="187"/>
      <c r="J854" s="187"/>
      <c r="K854" s="187"/>
      <c r="L854" s="187"/>
      <c r="M854" s="187"/>
      <c r="N854" s="187"/>
      <c r="O854" s="187"/>
      <c r="P854" s="187"/>
      <c r="Q854" s="187"/>
      <c r="R854" s="187"/>
    </row>
    <row r="855" spans="2:57" ht="12.75" hidden="1" outlineLevel="2">
      <c r="B855" s="177"/>
      <c r="C855" s="223" t="s">
        <v>289</v>
      </c>
      <c r="D855" s="177"/>
      <c r="E855" s="141"/>
      <c r="F855" s="188" t="s">
        <v>254</v>
      </c>
      <c r="G855" s="177"/>
      <c r="H855" s="177"/>
      <c r="I855" s="177"/>
      <c r="J855" s="177"/>
      <c r="K855" s="177"/>
      <c r="L855" s="177"/>
      <c r="M855" s="177"/>
      <c r="N855" s="177"/>
      <c r="O855" s="177"/>
      <c r="P855" s="177"/>
      <c r="Q855" s="177"/>
      <c r="R855" s="177"/>
      <c r="BE855" s="71"/>
    </row>
    <row r="856" spans="2:18" s="71" customFormat="1" ht="6.75" hidden="1" outlineLevel="2">
      <c r="B856" s="187"/>
      <c r="C856" s="187"/>
      <c r="D856" s="187"/>
      <c r="E856" s="187"/>
      <c r="F856" s="187"/>
      <c r="G856" s="187"/>
      <c r="H856" s="187"/>
      <c r="I856" s="187"/>
      <c r="J856" s="187"/>
      <c r="K856" s="187"/>
      <c r="L856" s="187"/>
      <c r="M856" s="187"/>
      <c r="N856" s="187"/>
      <c r="O856" s="187"/>
      <c r="P856" s="187"/>
      <c r="Q856" s="187"/>
      <c r="R856" s="187"/>
    </row>
    <row r="857" spans="2:57" ht="12.75" hidden="1" outlineLevel="2">
      <c r="B857" s="177"/>
      <c r="C857" s="223" t="s">
        <v>572</v>
      </c>
      <c r="D857" s="177"/>
      <c r="E857" s="279">
        <f>IF(H857="Vrachtwagen",1/4,IF(H857="Bus / transporter",1/9,IF(H857="Bus met aanhanger",1/7,IF(H857="Personenauto",1/11,0))))</f>
        <v>0</v>
      </c>
      <c r="F857" s="188" t="s">
        <v>307</v>
      </c>
      <c r="G857" s="177"/>
      <c r="H857" s="324" t="s">
        <v>265</v>
      </c>
      <c r="I857" s="325"/>
      <c r="J857" s="224" t="s">
        <v>768</v>
      </c>
      <c r="K857" s="177"/>
      <c r="L857" s="177"/>
      <c r="M857" s="177"/>
      <c r="N857" s="177"/>
      <c r="O857" s="177"/>
      <c r="P857" s="177"/>
      <c r="Q857" s="177"/>
      <c r="R857" s="177"/>
      <c r="BE857" s="71"/>
    </row>
    <row r="858" spans="2:18" s="71" customFormat="1" ht="6.75" hidden="1" outlineLevel="2">
      <c r="B858" s="187"/>
      <c r="C858" s="187"/>
      <c r="D858" s="187"/>
      <c r="E858" s="187"/>
      <c r="F858" s="187"/>
      <c r="G858" s="187"/>
      <c r="H858" s="187"/>
      <c r="I858" s="187"/>
      <c r="J858" s="187"/>
      <c r="K858" s="187"/>
      <c r="L858" s="187"/>
      <c r="M858" s="187"/>
      <c r="N858" s="187"/>
      <c r="O858" s="187"/>
      <c r="P858" s="187"/>
      <c r="Q858" s="187"/>
      <c r="R858" s="187"/>
    </row>
    <row r="859" spans="2:57" ht="12.75" hidden="1" outlineLevel="2">
      <c r="B859" s="177"/>
      <c r="C859" s="223" t="s">
        <v>308</v>
      </c>
      <c r="D859" s="177"/>
      <c r="E859" s="324" t="s">
        <v>265</v>
      </c>
      <c r="F859" s="325"/>
      <c r="G859" s="177"/>
      <c r="H859" s="177"/>
      <c r="I859" s="177"/>
      <c r="J859" s="177"/>
      <c r="K859" s="177"/>
      <c r="L859" s="177"/>
      <c r="M859" s="177"/>
      <c r="N859" s="177"/>
      <c r="O859" s="177"/>
      <c r="P859" s="177"/>
      <c r="Q859" s="177"/>
      <c r="R859" s="177"/>
      <c r="BE859" s="80"/>
    </row>
    <row r="860" spans="2:18" s="80" customFormat="1" ht="8.25" hidden="1" outlineLevel="2">
      <c r="B860" s="199"/>
      <c r="C860" s="199"/>
      <c r="D860" s="199"/>
      <c r="E860" s="199"/>
      <c r="F860" s="199"/>
      <c r="G860" s="199"/>
      <c r="H860" s="199"/>
      <c r="I860" s="199"/>
      <c r="J860" s="199"/>
      <c r="K860" s="199"/>
      <c r="L860" s="199"/>
      <c r="M860" s="199"/>
      <c r="N860" s="199"/>
      <c r="O860" s="199"/>
      <c r="P860" s="199"/>
      <c r="Q860" s="199"/>
      <c r="R860" s="199"/>
    </row>
    <row r="861" spans="2:57" ht="12.75" hidden="1" outlineLevel="2">
      <c r="B861" s="177"/>
      <c r="C861" s="222" t="s">
        <v>574</v>
      </c>
      <c r="D861" s="177"/>
      <c r="E861" s="177"/>
      <c r="F861" s="177"/>
      <c r="G861" s="177"/>
      <c r="H861" s="177"/>
      <c r="I861" s="177"/>
      <c r="J861" s="177"/>
      <c r="K861" s="177"/>
      <c r="L861" s="177"/>
      <c r="M861" s="177"/>
      <c r="N861" s="177"/>
      <c r="O861" s="177"/>
      <c r="P861" s="177"/>
      <c r="Q861" s="177"/>
      <c r="R861" s="177"/>
      <c r="BE861" s="71"/>
    </row>
    <row r="862" spans="2:18" s="71" customFormat="1" ht="6.75" hidden="1" outlineLevel="2">
      <c r="B862" s="187"/>
      <c r="C862" s="187"/>
      <c r="D862" s="187"/>
      <c r="E862" s="187"/>
      <c r="F862" s="187"/>
      <c r="G862" s="187"/>
      <c r="H862" s="187"/>
      <c r="I862" s="187"/>
      <c r="J862" s="187"/>
      <c r="K862" s="187"/>
      <c r="L862" s="187"/>
      <c r="M862" s="187"/>
      <c r="N862" s="187"/>
      <c r="O862" s="187"/>
      <c r="P862" s="187"/>
      <c r="Q862" s="187"/>
      <c r="R862" s="187"/>
    </row>
    <row r="863" spans="2:57" ht="12.75" hidden="1" outlineLevel="2">
      <c r="B863" s="177"/>
      <c r="C863" s="223" t="s">
        <v>571</v>
      </c>
      <c r="D863" s="177"/>
      <c r="E863" s="141"/>
      <c r="F863" s="188" t="s">
        <v>253</v>
      </c>
      <c r="G863" s="177"/>
      <c r="H863" s="177"/>
      <c r="I863" s="177"/>
      <c r="J863" s="177"/>
      <c r="K863" s="177"/>
      <c r="L863" s="177"/>
      <c r="M863" s="177"/>
      <c r="N863" s="177"/>
      <c r="O863" s="177"/>
      <c r="P863" s="177"/>
      <c r="Q863" s="177"/>
      <c r="R863" s="177"/>
      <c r="BE863" s="71"/>
    </row>
    <row r="864" spans="2:18" s="71" customFormat="1" ht="6.75" hidden="1" outlineLevel="2">
      <c r="B864" s="187"/>
      <c r="C864" s="187"/>
      <c r="D864" s="187"/>
      <c r="E864" s="187"/>
      <c r="F864" s="187"/>
      <c r="G864" s="187"/>
      <c r="H864" s="187"/>
      <c r="I864" s="187"/>
      <c r="J864" s="187"/>
      <c r="K864" s="187"/>
      <c r="L864" s="187"/>
      <c r="M864" s="187"/>
      <c r="N864" s="187"/>
      <c r="O864" s="187"/>
      <c r="P864" s="187"/>
      <c r="Q864" s="187"/>
      <c r="R864" s="187"/>
    </row>
    <row r="865" spans="2:57" ht="12.75" hidden="1" outlineLevel="2">
      <c r="B865" s="177"/>
      <c r="C865" s="223" t="s">
        <v>289</v>
      </c>
      <c r="D865" s="177"/>
      <c r="E865" s="141"/>
      <c r="F865" s="188" t="s">
        <v>254</v>
      </c>
      <c r="G865" s="177"/>
      <c r="H865" s="177"/>
      <c r="I865" s="177"/>
      <c r="J865" s="177"/>
      <c r="K865" s="177"/>
      <c r="L865" s="177"/>
      <c r="M865" s="177"/>
      <c r="N865" s="177"/>
      <c r="O865" s="177"/>
      <c r="P865" s="177"/>
      <c r="Q865" s="177"/>
      <c r="R865" s="177"/>
      <c r="BE865" s="71"/>
    </row>
    <row r="866" spans="2:18" s="71" customFormat="1" ht="6.75" hidden="1" outlineLevel="2">
      <c r="B866" s="187"/>
      <c r="C866" s="187"/>
      <c r="D866" s="187"/>
      <c r="E866" s="187"/>
      <c r="F866" s="187"/>
      <c r="G866" s="187"/>
      <c r="H866" s="187"/>
      <c r="I866" s="187"/>
      <c r="J866" s="187"/>
      <c r="K866" s="187"/>
      <c r="L866" s="187"/>
      <c r="M866" s="187"/>
      <c r="N866" s="187"/>
      <c r="O866" s="187"/>
      <c r="P866" s="187"/>
      <c r="Q866" s="187"/>
      <c r="R866" s="187"/>
    </row>
    <row r="867" spans="2:57" ht="12.75" hidden="1" outlineLevel="2">
      <c r="B867" s="177"/>
      <c r="C867" s="223" t="s">
        <v>572</v>
      </c>
      <c r="D867" s="177"/>
      <c r="E867" s="279">
        <f>IF(H867="Vrachtwagen",1/4,IF(H867="Bus / transporter",1/9,IF(H867="Bus met aanhanger",1/7,IF(H867="Personenauto",1/11,0))))</f>
        <v>0</v>
      </c>
      <c r="F867" s="188" t="s">
        <v>307</v>
      </c>
      <c r="G867" s="177"/>
      <c r="H867" s="324" t="s">
        <v>265</v>
      </c>
      <c r="I867" s="325"/>
      <c r="J867" s="224" t="s">
        <v>768</v>
      </c>
      <c r="K867" s="177"/>
      <c r="L867" s="177"/>
      <c r="M867" s="177"/>
      <c r="N867" s="177"/>
      <c r="O867" s="177"/>
      <c r="P867" s="177"/>
      <c r="Q867" s="177"/>
      <c r="R867" s="177"/>
      <c r="BE867" s="71"/>
    </row>
    <row r="868" spans="2:18" s="71" customFormat="1" ht="6.75" hidden="1" outlineLevel="2">
      <c r="B868" s="187"/>
      <c r="C868" s="187"/>
      <c r="D868" s="187"/>
      <c r="E868" s="187"/>
      <c r="F868" s="187"/>
      <c r="G868" s="187"/>
      <c r="H868" s="187"/>
      <c r="I868" s="187"/>
      <c r="J868" s="187"/>
      <c r="K868" s="187"/>
      <c r="L868" s="187"/>
      <c r="M868" s="187"/>
      <c r="N868" s="187"/>
      <c r="O868" s="187"/>
      <c r="P868" s="187"/>
      <c r="Q868" s="187"/>
      <c r="R868" s="187"/>
    </row>
    <row r="869" spans="2:57" ht="12.75" hidden="1" outlineLevel="2">
      <c r="B869" s="177"/>
      <c r="C869" s="223" t="s">
        <v>308</v>
      </c>
      <c r="D869" s="177"/>
      <c r="E869" s="324" t="s">
        <v>265</v>
      </c>
      <c r="F869" s="325"/>
      <c r="G869" s="177"/>
      <c r="H869" s="177"/>
      <c r="I869" s="177"/>
      <c r="J869" s="177"/>
      <c r="K869" s="177"/>
      <c r="L869" s="177"/>
      <c r="M869" s="177"/>
      <c r="N869" s="177"/>
      <c r="O869" s="177"/>
      <c r="P869" s="177"/>
      <c r="Q869" s="177"/>
      <c r="R869" s="177"/>
      <c r="BE869" s="80"/>
    </row>
    <row r="870" spans="2:18" s="80" customFormat="1" ht="8.25" hidden="1" outlineLevel="2">
      <c r="B870" s="199"/>
      <c r="C870" s="199"/>
      <c r="D870" s="199"/>
      <c r="E870" s="199"/>
      <c r="F870" s="199"/>
      <c r="G870" s="199"/>
      <c r="H870" s="199"/>
      <c r="I870" s="199"/>
      <c r="J870" s="199"/>
      <c r="K870" s="199"/>
      <c r="L870" s="199"/>
      <c r="M870" s="199"/>
      <c r="N870" s="199"/>
      <c r="O870" s="199"/>
      <c r="P870" s="199"/>
      <c r="Q870" s="199"/>
      <c r="R870" s="199"/>
    </row>
    <row r="871" spans="2:57" ht="12.75" hidden="1" outlineLevel="2">
      <c r="B871" s="177"/>
      <c r="C871" s="222" t="s">
        <v>575</v>
      </c>
      <c r="D871" s="177"/>
      <c r="E871" s="177"/>
      <c r="F871" s="177"/>
      <c r="G871" s="177"/>
      <c r="H871" s="177"/>
      <c r="I871" s="177"/>
      <c r="J871" s="177"/>
      <c r="K871" s="177"/>
      <c r="L871" s="177"/>
      <c r="M871" s="177"/>
      <c r="N871" s="177"/>
      <c r="O871" s="177"/>
      <c r="P871" s="177"/>
      <c r="Q871" s="177"/>
      <c r="R871" s="177"/>
      <c r="BE871" s="71"/>
    </row>
    <row r="872" spans="2:18" s="71" customFormat="1" ht="6.75" hidden="1" outlineLevel="2">
      <c r="B872" s="187"/>
      <c r="C872" s="187"/>
      <c r="D872" s="187"/>
      <c r="E872" s="187"/>
      <c r="F872" s="187"/>
      <c r="G872" s="187"/>
      <c r="H872" s="187"/>
      <c r="I872" s="187"/>
      <c r="J872" s="187"/>
      <c r="K872" s="187"/>
      <c r="L872" s="187"/>
      <c r="M872" s="187"/>
      <c r="N872" s="187"/>
      <c r="O872" s="187"/>
      <c r="P872" s="187"/>
      <c r="Q872" s="187"/>
      <c r="R872" s="187"/>
    </row>
    <row r="873" spans="2:57" ht="12.75" hidden="1" outlineLevel="2">
      <c r="B873" s="177"/>
      <c r="C873" s="223" t="s">
        <v>571</v>
      </c>
      <c r="D873" s="177"/>
      <c r="E873" s="141"/>
      <c r="F873" s="188" t="s">
        <v>253</v>
      </c>
      <c r="G873" s="177"/>
      <c r="H873" s="177"/>
      <c r="I873" s="177"/>
      <c r="J873" s="177"/>
      <c r="K873" s="177"/>
      <c r="L873" s="177"/>
      <c r="M873" s="177"/>
      <c r="N873" s="177"/>
      <c r="O873" s="177"/>
      <c r="P873" s="177"/>
      <c r="Q873" s="177"/>
      <c r="R873" s="177"/>
      <c r="BE873" s="71"/>
    </row>
    <row r="874" spans="2:18" s="71" customFormat="1" ht="6.75" hidden="1" outlineLevel="2">
      <c r="B874" s="187"/>
      <c r="C874" s="187"/>
      <c r="D874" s="187"/>
      <c r="E874" s="187"/>
      <c r="F874" s="187"/>
      <c r="G874" s="187"/>
      <c r="H874" s="187"/>
      <c r="I874" s="187"/>
      <c r="J874" s="187"/>
      <c r="K874" s="187"/>
      <c r="L874" s="187"/>
      <c r="M874" s="187"/>
      <c r="N874" s="187"/>
      <c r="O874" s="187"/>
      <c r="P874" s="187"/>
      <c r="Q874" s="187"/>
      <c r="R874" s="187"/>
    </row>
    <row r="875" spans="2:57" ht="12.75" hidden="1" outlineLevel="2">
      <c r="B875" s="177"/>
      <c r="C875" s="223" t="s">
        <v>289</v>
      </c>
      <c r="D875" s="177"/>
      <c r="E875" s="141"/>
      <c r="F875" s="188" t="s">
        <v>254</v>
      </c>
      <c r="G875" s="177"/>
      <c r="H875" s="177"/>
      <c r="I875" s="177"/>
      <c r="J875" s="177"/>
      <c r="K875" s="177"/>
      <c r="L875" s="177"/>
      <c r="M875" s="177"/>
      <c r="N875" s="177"/>
      <c r="O875" s="177"/>
      <c r="P875" s="177"/>
      <c r="Q875" s="177"/>
      <c r="R875" s="177"/>
      <c r="BE875" s="71"/>
    </row>
    <row r="876" spans="2:18" s="71" customFormat="1" ht="6.75" hidden="1" outlineLevel="2">
      <c r="B876" s="187"/>
      <c r="C876" s="187"/>
      <c r="D876" s="187"/>
      <c r="E876" s="187"/>
      <c r="F876" s="187"/>
      <c r="G876" s="187"/>
      <c r="H876" s="187"/>
      <c r="I876" s="187"/>
      <c r="J876" s="187"/>
      <c r="K876" s="187"/>
      <c r="L876" s="187"/>
      <c r="M876" s="187"/>
      <c r="N876" s="187"/>
      <c r="O876" s="187"/>
      <c r="P876" s="187"/>
      <c r="Q876" s="187"/>
      <c r="R876" s="187"/>
    </row>
    <row r="877" spans="2:57" ht="12.75" hidden="1" outlineLevel="2">
      <c r="B877" s="177"/>
      <c r="C877" s="223" t="s">
        <v>572</v>
      </c>
      <c r="D877" s="177"/>
      <c r="E877" s="279">
        <f>IF(H877="Vrachtwagen",1/4,IF(H877="Bus / transporter",1/9,IF(H877="Bus met aanhanger",1/7,IF(H877="Personenauto",1/11,0))))</f>
        <v>0</v>
      </c>
      <c r="F877" s="188" t="s">
        <v>307</v>
      </c>
      <c r="G877" s="177"/>
      <c r="H877" s="324" t="s">
        <v>265</v>
      </c>
      <c r="I877" s="325"/>
      <c r="J877" s="224" t="s">
        <v>768</v>
      </c>
      <c r="K877" s="177"/>
      <c r="L877" s="177"/>
      <c r="M877" s="177"/>
      <c r="N877" s="177"/>
      <c r="O877" s="177"/>
      <c r="P877" s="177"/>
      <c r="Q877" s="177"/>
      <c r="R877" s="177"/>
      <c r="BE877" s="71"/>
    </row>
    <row r="878" spans="2:18" s="71" customFormat="1" ht="6.75" hidden="1" outlineLevel="2">
      <c r="B878" s="187"/>
      <c r="C878" s="187"/>
      <c r="D878" s="187"/>
      <c r="E878" s="187"/>
      <c r="F878" s="187"/>
      <c r="G878" s="187"/>
      <c r="H878" s="187"/>
      <c r="I878" s="187"/>
      <c r="J878" s="187"/>
      <c r="K878" s="187"/>
      <c r="L878" s="187"/>
      <c r="M878" s="187"/>
      <c r="N878" s="187"/>
      <c r="O878" s="187"/>
      <c r="P878" s="187"/>
      <c r="Q878" s="187"/>
      <c r="R878" s="187"/>
    </row>
    <row r="879" spans="2:57" ht="12.75" hidden="1" outlineLevel="2">
      <c r="B879" s="177"/>
      <c r="C879" s="223" t="s">
        <v>308</v>
      </c>
      <c r="D879" s="177"/>
      <c r="E879" s="324" t="s">
        <v>265</v>
      </c>
      <c r="F879" s="325"/>
      <c r="G879" s="177"/>
      <c r="H879" s="177"/>
      <c r="I879" s="177"/>
      <c r="J879" s="177"/>
      <c r="K879" s="177"/>
      <c r="L879" s="177"/>
      <c r="M879" s="177"/>
      <c r="N879" s="177"/>
      <c r="O879" s="177"/>
      <c r="P879" s="177"/>
      <c r="Q879" s="177"/>
      <c r="R879" s="177"/>
      <c r="BE879" s="80"/>
    </row>
    <row r="880" spans="2:18" s="80" customFormat="1" ht="8.25" hidden="1" outlineLevel="2">
      <c r="B880" s="199"/>
      <c r="C880" s="199"/>
      <c r="D880" s="199"/>
      <c r="E880" s="199"/>
      <c r="F880" s="199"/>
      <c r="G880" s="199"/>
      <c r="H880" s="199"/>
      <c r="I880" s="199"/>
      <c r="J880" s="199"/>
      <c r="K880" s="199"/>
      <c r="L880" s="199"/>
      <c r="M880" s="199"/>
      <c r="N880" s="199"/>
      <c r="O880" s="199"/>
      <c r="P880" s="199"/>
      <c r="Q880" s="199"/>
      <c r="R880" s="199"/>
    </row>
    <row r="881" spans="2:57" s="81" customFormat="1" ht="11.25" hidden="1" outlineLevel="1">
      <c r="B881" s="219"/>
      <c r="C881" s="219"/>
      <c r="D881" s="219"/>
      <c r="E881" s="219"/>
      <c r="F881" s="219"/>
      <c r="G881" s="219"/>
      <c r="H881" s="219"/>
      <c r="I881" s="219"/>
      <c r="J881" s="219"/>
      <c r="K881" s="219"/>
      <c r="L881" s="219"/>
      <c r="M881" s="219"/>
      <c r="N881" s="219"/>
      <c r="O881" s="219"/>
      <c r="P881" s="219"/>
      <c r="Q881" s="219"/>
      <c r="R881" s="219"/>
      <c r="BE881" s="71"/>
    </row>
    <row r="882" spans="2:18" ht="12.75" hidden="1" outlineLevel="1">
      <c r="B882" s="177"/>
      <c r="C882" s="198" t="s">
        <v>576</v>
      </c>
      <c r="D882" s="177"/>
      <c r="E882" s="177"/>
      <c r="F882" s="177"/>
      <c r="G882" s="177"/>
      <c r="H882" s="177"/>
      <c r="I882" s="177"/>
      <c r="J882" s="177"/>
      <c r="K882" s="177"/>
      <c r="L882" s="177"/>
      <c r="M882" s="177"/>
      <c r="N882" s="177"/>
      <c r="O882" s="177"/>
      <c r="P882" s="177"/>
      <c r="Q882" s="177"/>
      <c r="R882" s="177"/>
    </row>
    <row r="883" spans="2:57" s="80" customFormat="1" ht="8.25" hidden="1" outlineLevel="2">
      <c r="B883" s="199"/>
      <c r="C883" s="199"/>
      <c r="D883" s="199"/>
      <c r="E883" s="199"/>
      <c r="F883" s="199"/>
      <c r="G883" s="199"/>
      <c r="H883" s="199"/>
      <c r="I883" s="199"/>
      <c r="J883" s="199"/>
      <c r="K883" s="199"/>
      <c r="L883" s="199"/>
      <c r="M883" s="199"/>
      <c r="N883" s="199"/>
      <c r="O883" s="199"/>
      <c r="P883" s="199"/>
      <c r="Q883" s="199"/>
      <c r="R883" s="199"/>
      <c r="BE883" s="71"/>
    </row>
    <row r="884" spans="2:18" ht="12.75" hidden="1" outlineLevel="2">
      <c r="B884" s="177"/>
      <c r="C884" s="222" t="s">
        <v>577</v>
      </c>
      <c r="D884" s="177"/>
      <c r="E884" s="177"/>
      <c r="F884" s="177"/>
      <c r="G884" s="177"/>
      <c r="H884" s="177"/>
      <c r="I884" s="177"/>
      <c r="J884" s="177"/>
      <c r="K884" s="177"/>
      <c r="L884" s="177"/>
      <c r="M884" s="177"/>
      <c r="N884" s="177"/>
      <c r="O884" s="177"/>
      <c r="P884" s="177"/>
      <c r="Q884" s="177"/>
      <c r="R884" s="177"/>
    </row>
    <row r="885" spans="2:18" s="71" customFormat="1" ht="6.75" hidden="1" outlineLevel="2">
      <c r="B885" s="187"/>
      <c r="C885" s="187"/>
      <c r="D885" s="187"/>
      <c r="E885" s="187"/>
      <c r="F885" s="187"/>
      <c r="G885" s="187"/>
      <c r="H885" s="187"/>
      <c r="I885" s="187"/>
      <c r="J885" s="187"/>
      <c r="K885" s="187"/>
      <c r="L885" s="187"/>
      <c r="M885" s="187"/>
      <c r="N885" s="187"/>
      <c r="O885" s="187"/>
      <c r="P885" s="187"/>
      <c r="Q885" s="187"/>
      <c r="R885" s="187"/>
    </row>
    <row r="886" spans="2:18" ht="12.75" hidden="1" outlineLevel="2">
      <c r="B886" s="177"/>
      <c r="C886" s="223" t="s">
        <v>578</v>
      </c>
      <c r="D886" s="177"/>
      <c r="E886" s="141"/>
      <c r="F886" s="188" t="s">
        <v>253</v>
      </c>
      <c r="G886" s="177"/>
      <c r="H886" s="177"/>
      <c r="I886" s="177"/>
      <c r="J886" s="177"/>
      <c r="K886" s="177"/>
      <c r="L886" s="177"/>
      <c r="M886" s="177"/>
      <c r="N886" s="177"/>
      <c r="O886" s="177"/>
      <c r="P886" s="177"/>
      <c r="Q886" s="177"/>
      <c r="R886" s="177"/>
    </row>
    <row r="887" spans="2:18" s="71" customFormat="1" ht="6.75" hidden="1" outlineLevel="2">
      <c r="B887" s="187"/>
      <c r="C887" s="187"/>
      <c r="D887" s="187"/>
      <c r="E887" s="187"/>
      <c r="F887" s="187"/>
      <c r="G887" s="187"/>
      <c r="H887" s="187"/>
      <c r="I887" s="187"/>
      <c r="J887" s="187"/>
      <c r="K887" s="187"/>
      <c r="L887" s="187"/>
      <c r="M887" s="187"/>
      <c r="N887" s="187"/>
      <c r="O887" s="187"/>
      <c r="P887" s="187"/>
      <c r="Q887" s="187"/>
      <c r="R887" s="187"/>
    </row>
    <row r="888" spans="2:18" ht="12.75" hidden="1" outlineLevel="2">
      <c r="B888" s="177"/>
      <c r="C888" s="223" t="s">
        <v>289</v>
      </c>
      <c r="D888" s="177"/>
      <c r="E888" s="141"/>
      <c r="F888" s="188" t="s">
        <v>254</v>
      </c>
      <c r="G888" s="177"/>
      <c r="H888" s="177"/>
      <c r="I888" s="177"/>
      <c r="J888" s="177"/>
      <c r="K888" s="177"/>
      <c r="L888" s="177"/>
      <c r="M888" s="177"/>
      <c r="N888" s="177"/>
      <c r="O888" s="177"/>
      <c r="P888" s="177"/>
      <c r="Q888" s="177"/>
      <c r="R888" s="177"/>
    </row>
    <row r="889" spans="2:57" s="71" customFormat="1" ht="8.25" hidden="1" outlineLevel="2">
      <c r="B889" s="187"/>
      <c r="C889" s="187"/>
      <c r="D889" s="187"/>
      <c r="E889" s="187"/>
      <c r="F889" s="187"/>
      <c r="G889" s="187"/>
      <c r="H889" s="187"/>
      <c r="I889" s="187"/>
      <c r="J889" s="187"/>
      <c r="K889" s="187"/>
      <c r="L889" s="187"/>
      <c r="M889" s="187"/>
      <c r="N889" s="187"/>
      <c r="O889" s="187"/>
      <c r="P889" s="187"/>
      <c r="Q889" s="187"/>
      <c r="R889" s="187"/>
      <c r="BE889" s="80"/>
    </row>
    <row r="890" spans="2:57" ht="12.75" hidden="1" outlineLevel="2">
      <c r="B890" s="177"/>
      <c r="C890" s="223" t="s">
        <v>572</v>
      </c>
      <c r="D890" s="177"/>
      <c r="E890" s="279">
        <f>IF(H890="Vrachtwagen",1/4,IF(H890="Bus / transporter",1/9,IF(H890="Bus met aanhanger",1/7,IF(H890="Personenauto",1/11,0))))</f>
        <v>0</v>
      </c>
      <c r="F890" s="188" t="s">
        <v>307</v>
      </c>
      <c r="G890" s="177"/>
      <c r="H890" s="324" t="s">
        <v>265</v>
      </c>
      <c r="I890" s="325"/>
      <c r="J890" s="224" t="s">
        <v>768</v>
      </c>
      <c r="K890" s="177"/>
      <c r="L890" s="177"/>
      <c r="M890" s="177"/>
      <c r="N890" s="177"/>
      <c r="O890" s="177"/>
      <c r="P890" s="177"/>
      <c r="Q890" s="177"/>
      <c r="R890" s="177"/>
      <c r="BE890" s="81"/>
    </row>
    <row r="891" spans="2:18" s="71" customFormat="1" ht="6.75" hidden="1" outlineLevel="2">
      <c r="B891" s="187"/>
      <c r="C891" s="187"/>
      <c r="D891" s="187"/>
      <c r="E891" s="187"/>
      <c r="F891" s="187"/>
      <c r="G891" s="187"/>
      <c r="H891" s="187"/>
      <c r="I891" s="187"/>
      <c r="J891" s="187"/>
      <c r="K891" s="187"/>
      <c r="L891" s="187"/>
      <c r="M891" s="187"/>
      <c r="N891" s="187"/>
      <c r="O891" s="187"/>
      <c r="P891" s="187"/>
      <c r="Q891" s="187"/>
      <c r="R891" s="187"/>
    </row>
    <row r="892" spans="2:57" ht="12.75" hidden="1" outlineLevel="2">
      <c r="B892" s="177"/>
      <c r="C892" s="223" t="s">
        <v>308</v>
      </c>
      <c r="D892" s="177"/>
      <c r="E892" s="324" t="s">
        <v>265</v>
      </c>
      <c r="F892" s="325"/>
      <c r="G892" s="177"/>
      <c r="H892" s="177"/>
      <c r="I892" s="177"/>
      <c r="J892" s="177"/>
      <c r="K892" s="177"/>
      <c r="L892" s="177"/>
      <c r="M892" s="177"/>
      <c r="N892" s="177"/>
      <c r="O892" s="177"/>
      <c r="P892" s="177"/>
      <c r="Q892" s="177"/>
      <c r="R892" s="177"/>
      <c r="BE892" s="80"/>
    </row>
    <row r="893" spans="2:18" s="75" customFormat="1" ht="8.25" hidden="1" outlineLevel="2">
      <c r="B893" s="192"/>
      <c r="C893" s="192"/>
      <c r="D893" s="192"/>
      <c r="E893" s="192"/>
      <c r="F893" s="192"/>
      <c r="G893" s="192"/>
      <c r="H893" s="192"/>
      <c r="I893" s="192"/>
      <c r="J893" s="192"/>
      <c r="K893" s="192"/>
      <c r="L893" s="192"/>
      <c r="M893" s="192"/>
      <c r="N893" s="192"/>
      <c r="O893" s="192"/>
      <c r="P893" s="192"/>
      <c r="Q893" s="192"/>
      <c r="R893" s="192"/>
    </row>
    <row r="894" spans="2:18" s="81" customFormat="1" ht="11.25" hidden="1" outlineLevel="1">
      <c r="B894" s="219"/>
      <c r="C894" s="219"/>
      <c r="D894" s="219"/>
      <c r="E894" s="219"/>
      <c r="F894" s="219"/>
      <c r="G894" s="219"/>
      <c r="H894" s="219"/>
      <c r="I894" s="219"/>
      <c r="J894" s="219"/>
      <c r="K894" s="219"/>
      <c r="L894" s="219"/>
      <c r="M894" s="219"/>
      <c r="N894" s="219"/>
      <c r="O894" s="219"/>
      <c r="P894" s="219"/>
      <c r="Q894" s="219"/>
      <c r="R894" s="219"/>
    </row>
    <row r="895" spans="2:18" s="81" customFormat="1" ht="11.25">
      <c r="B895" s="219"/>
      <c r="C895" s="219"/>
      <c r="D895" s="219"/>
      <c r="E895" s="219"/>
      <c r="F895" s="219"/>
      <c r="G895" s="219"/>
      <c r="H895" s="219"/>
      <c r="I895" s="219"/>
      <c r="J895" s="219"/>
      <c r="K895" s="219"/>
      <c r="L895" s="219"/>
      <c r="M895" s="219"/>
      <c r="N895" s="219"/>
      <c r="O895" s="219"/>
      <c r="P895" s="219"/>
      <c r="Q895" s="219"/>
      <c r="R895" s="219"/>
    </row>
    <row r="896" spans="2:57" ht="12.75">
      <c r="B896" s="177"/>
      <c r="C896" s="177"/>
      <c r="D896" s="177"/>
      <c r="E896" s="177"/>
      <c r="F896" s="177"/>
      <c r="G896" s="177"/>
      <c r="H896" s="177"/>
      <c r="I896" s="177"/>
      <c r="J896" s="177"/>
      <c r="K896" s="177"/>
      <c r="L896" s="177"/>
      <c r="M896" s="177"/>
      <c r="N896" s="177"/>
      <c r="O896" s="177"/>
      <c r="P896" s="177"/>
      <c r="Q896" s="177"/>
      <c r="R896" s="177"/>
      <c r="BE896" s="71"/>
    </row>
    <row r="897" spans="2:18" ht="18">
      <c r="B897" s="197" t="s">
        <v>696</v>
      </c>
      <c r="C897" s="177"/>
      <c r="D897" s="177"/>
      <c r="E897" s="177"/>
      <c r="F897" s="177"/>
      <c r="G897" s="177"/>
      <c r="H897" s="177"/>
      <c r="I897" s="177"/>
      <c r="J897" s="177"/>
      <c r="K897" s="177"/>
      <c r="L897" s="177"/>
      <c r="M897" s="177"/>
      <c r="N897" s="177"/>
      <c r="O897" s="177"/>
      <c r="P897" s="177"/>
      <c r="Q897" s="177"/>
      <c r="R897" s="177"/>
    </row>
    <row r="898" spans="2:57" ht="12.75">
      <c r="B898" s="177"/>
      <c r="C898" s="177"/>
      <c r="D898" s="177"/>
      <c r="E898" s="177"/>
      <c r="F898" s="177"/>
      <c r="G898" s="177"/>
      <c r="H898" s="177"/>
      <c r="I898" s="177"/>
      <c r="J898" s="177"/>
      <c r="K898" s="177"/>
      <c r="L898" s="177"/>
      <c r="M898" s="177"/>
      <c r="N898" s="177"/>
      <c r="O898" s="177"/>
      <c r="P898" s="177"/>
      <c r="Q898" s="177"/>
      <c r="R898" s="177"/>
      <c r="BE898" s="71"/>
    </row>
    <row r="899" spans="2:18" ht="12.75" hidden="1" outlineLevel="1">
      <c r="B899" s="177"/>
      <c r="C899" s="198" t="s">
        <v>444</v>
      </c>
      <c r="D899" s="177"/>
      <c r="E899" s="177"/>
      <c r="F899" s="177"/>
      <c r="G899" s="177"/>
      <c r="H899" s="177"/>
      <c r="I899" s="177"/>
      <c r="J899" s="177"/>
      <c r="K899" s="177"/>
      <c r="L899" s="177"/>
      <c r="M899" s="177"/>
      <c r="N899" s="177"/>
      <c r="O899" s="177"/>
      <c r="P899" s="177"/>
      <c r="Q899" s="177"/>
      <c r="R899" s="177"/>
    </row>
    <row r="900" spans="2:57" s="80" customFormat="1" ht="8.25" hidden="1" outlineLevel="2">
      <c r="B900" s="199"/>
      <c r="C900" s="199"/>
      <c r="D900" s="199"/>
      <c r="E900" s="199"/>
      <c r="F900" s="199"/>
      <c r="G900" s="199"/>
      <c r="H900" s="199"/>
      <c r="I900" s="199"/>
      <c r="J900" s="199"/>
      <c r="K900" s="199"/>
      <c r="L900" s="199"/>
      <c r="M900" s="199"/>
      <c r="N900" s="199"/>
      <c r="O900" s="199"/>
      <c r="P900" s="199"/>
      <c r="Q900" s="199"/>
      <c r="R900" s="199"/>
      <c r="BE900" s="71"/>
    </row>
    <row r="901" spans="2:18" ht="12.75" hidden="1" outlineLevel="2">
      <c r="B901" s="177"/>
      <c r="C901" s="177"/>
      <c r="D901" s="177"/>
      <c r="E901" s="210" t="s">
        <v>713</v>
      </c>
      <c r="F901" s="177"/>
      <c r="G901" s="210" t="s">
        <v>337</v>
      </c>
      <c r="H901" s="177"/>
      <c r="I901" s="177"/>
      <c r="J901" s="210" t="s">
        <v>768</v>
      </c>
      <c r="L901" s="177"/>
      <c r="M901" s="210" t="s">
        <v>308</v>
      </c>
      <c r="N901" s="177"/>
      <c r="R901" s="177"/>
    </row>
    <row r="902" spans="2:57" s="71" customFormat="1" ht="8.25" hidden="1" outlineLevel="2">
      <c r="B902" s="187"/>
      <c r="C902" s="187"/>
      <c r="D902" s="187"/>
      <c r="E902" s="187"/>
      <c r="F902" s="187"/>
      <c r="G902" s="187"/>
      <c r="H902" s="187"/>
      <c r="I902" s="187"/>
      <c r="L902" s="187"/>
      <c r="M902" s="187"/>
      <c r="N902" s="187"/>
      <c r="R902" s="187"/>
      <c r="BE902" s="75"/>
    </row>
    <row r="903" spans="2:57" ht="12.75" hidden="1" outlineLevel="2">
      <c r="B903" s="177"/>
      <c r="C903" s="223" t="s">
        <v>714</v>
      </c>
      <c r="D903" s="177"/>
      <c r="E903" s="141"/>
      <c r="F903" s="188" t="s">
        <v>254</v>
      </c>
      <c r="G903" s="279">
        <f>IF(J903="Vrachtwagen",1/4,IF(J903="Bus / transporter",1/9,IF(J903="Bus met aanhanger",1/7,IF(J903="Personenauto",1/11,0))))</f>
        <v>0</v>
      </c>
      <c r="H903" s="188" t="s">
        <v>307</v>
      </c>
      <c r="I903" s="177"/>
      <c r="J903" s="324" t="s">
        <v>265</v>
      </c>
      <c r="K903" s="325"/>
      <c r="L903" s="224"/>
      <c r="M903" s="324" t="s">
        <v>265</v>
      </c>
      <c r="N903" s="325"/>
      <c r="R903" s="177"/>
      <c r="BE903" s="81"/>
    </row>
    <row r="904" spans="2:18" s="71" customFormat="1" ht="6.75" hidden="1" outlineLevel="2">
      <c r="B904" s="187"/>
      <c r="C904" s="187"/>
      <c r="D904" s="187"/>
      <c r="E904" s="187"/>
      <c r="F904" s="187"/>
      <c r="G904" s="187"/>
      <c r="H904" s="187"/>
      <c r="I904" s="187"/>
      <c r="L904" s="187"/>
      <c r="M904" s="187"/>
      <c r="N904" s="187"/>
      <c r="R904" s="187"/>
    </row>
    <row r="905" spans="2:18" ht="12.75" hidden="1" outlineLevel="2">
      <c r="B905" s="177"/>
      <c r="C905" s="223" t="s">
        <v>715</v>
      </c>
      <c r="D905" s="177"/>
      <c r="E905" s="141"/>
      <c r="F905" s="188" t="s">
        <v>254</v>
      </c>
      <c r="G905" s="279">
        <f>IF(J905="Vrachtwagen",1/4,IF(J905="Bus / transporter",1/9,IF(J905="Bus met aanhanger",1/7,IF(J905="Personenauto",1/11,0))))</f>
        <v>0</v>
      </c>
      <c r="H905" s="188" t="s">
        <v>307</v>
      </c>
      <c r="I905" s="177"/>
      <c r="J905" s="324" t="s">
        <v>265</v>
      </c>
      <c r="K905" s="325"/>
      <c r="L905" s="224"/>
      <c r="M905" s="324" t="s">
        <v>265</v>
      </c>
      <c r="N905" s="325"/>
      <c r="R905" s="177"/>
    </row>
    <row r="906" spans="2:18" s="71" customFormat="1" ht="6.75" hidden="1" outlineLevel="2">
      <c r="B906" s="187"/>
      <c r="C906" s="187"/>
      <c r="D906" s="187"/>
      <c r="E906" s="187"/>
      <c r="F906" s="187"/>
      <c r="G906" s="187"/>
      <c r="H906" s="187"/>
      <c r="I906" s="187"/>
      <c r="L906" s="187"/>
      <c r="M906" s="187"/>
      <c r="N906" s="187"/>
      <c r="R906" s="187"/>
    </row>
    <row r="907" spans="2:18" ht="12.75" hidden="1" outlineLevel="2">
      <c r="B907" s="177"/>
      <c r="C907" s="223" t="s">
        <v>716</v>
      </c>
      <c r="D907" s="177"/>
      <c r="E907" s="141"/>
      <c r="F907" s="188" t="s">
        <v>254</v>
      </c>
      <c r="G907" s="279">
        <f>IF(J907="Vrachtwagen",1/4,IF(J907="Bus / transporter",1/9,IF(J907="Bus met aanhanger",1/7,IF(J907="Personenauto",1/11,0))))</f>
        <v>0</v>
      </c>
      <c r="H907" s="188" t="s">
        <v>307</v>
      </c>
      <c r="I907" s="177"/>
      <c r="J907" s="324" t="s">
        <v>265</v>
      </c>
      <c r="K907" s="325"/>
      <c r="L907" s="224"/>
      <c r="M907" s="324" t="s">
        <v>265</v>
      </c>
      <c r="N907" s="325"/>
      <c r="R907" s="177"/>
    </row>
    <row r="908" spans="2:18" s="71" customFormat="1" ht="6.75" hidden="1" outlineLevel="2">
      <c r="B908" s="187"/>
      <c r="C908" s="187"/>
      <c r="D908" s="187"/>
      <c r="E908" s="187"/>
      <c r="F908" s="187"/>
      <c r="G908" s="187"/>
      <c r="H908" s="187"/>
      <c r="I908" s="187"/>
      <c r="L908" s="187"/>
      <c r="M908" s="187"/>
      <c r="N908" s="187"/>
      <c r="R908" s="187"/>
    </row>
    <row r="909" spans="2:57" ht="12.75" hidden="1" outlineLevel="2">
      <c r="B909" s="177"/>
      <c r="C909" s="223" t="s">
        <v>717</v>
      </c>
      <c r="D909" s="177"/>
      <c r="E909" s="141"/>
      <c r="F909" s="188" t="s">
        <v>254</v>
      </c>
      <c r="G909" s="279">
        <f>IF(J909="Vrachtwagen",1/4,IF(J909="Bus / transporter",1/9,IF(J909="Bus met aanhanger",1/7,IF(J909="Personenauto",1/11,0))))</f>
        <v>0</v>
      </c>
      <c r="H909" s="188" t="s">
        <v>307</v>
      </c>
      <c r="I909" s="177"/>
      <c r="J909" s="324" t="s">
        <v>265</v>
      </c>
      <c r="K909" s="325"/>
      <c r="L909" s="224"/>
      <c r="M909" s="324" t="s">
        <v>265</v>
      </c>
      <c r="N909" s="325"/>
      <c r="R909" s="177"/>
      <c r="BE909" s="80"/>
    </row>
    <row r="910" spans="2:18" s="80" customFormat="1" ht="8.25" hidden="1" outlineLevel="2">
      <c r="B910" s="199"/>
      <c r="C910" s="246"/>
      <c r="D910" s="199"/>
      <c r="E910" s="199"/>
      <c r="F910" s="199"/>
      <c r="G910" s="199"/>
      <c r="H910" s="199"/>
      <c r="I910" s="199"/>
      <c r="J910" s="199"/>
      <c r="K910" s="199"/>
      <c r="L910" s="199"/>
      <c r="M910" s="199"/>
      <c r="N910" s="199"/>
      <c r="O910" s="199"/>
      <c r="P910" s="199"/>
      <c r="Q910" s="199"/>
      <c r="R910" s="199"/>
    </row>
    <row r="911" spans="2:57" s="81" customFormat="1" ht="11.25" hidden="1" outlineLevel="1">
      <c r="B911" s="219"/>
      <c r="C911" s="256"/>
      <c r="D911" s="219"/>
      <c r="E911" s="219"/>
      <c r="F911" s="219"/>
      <c r="G911" s="219"/>
      <c r="H911" s="219"/>
      <c r="I911" s="219"/>
      <c r="J911" s="219"/>
      <c r="K911" s="219"/>
      <c r="L911" s="219"/>
      <c r="M911" s="219"/>
      <c r="N911" s="219"/>
      <c r="O911" s="219"/>
      <c r="P911" s="219"/>
      <c r="Q911" s="219"/>
      <c r="R911" s="219"/>
      <c r="BE911" s="71"/>
    </row>
    <row r="912" spans="2:18" ht="12.75" hidden="1" outlineLevel="1">
      <c r="B912" s="177"/>
      <c r="C912" s="198" t="s">
        <v>697</v>
      </c>
      <c r="D912" s="177"/>
      <c r="E912" s="177"/>
      <c r="F912" s="177"/>
      <c r="G912" s="177"/>
      <c r="H912" s="177"/>
      <c r="I912" s="177"/>
      <c r="J912" s="177"/>
      <c r="K912" s="177"/>
      <c r="L912" s="177"/>
      <c r="M912" s="177"/>
      <c r="N912" s="177"/>
      <c r="O912" s="177"/>
      <c r="P912" s="177"/>
      <c r="Q912" s="177"/>
      <c r="R912" s="177"/>
    </row>
    <row r="913" spans="2:57" s="80" customFormat="1" ht="8.25" hidden="1" outlineLevel="2">
      <c r="B913" s="199"/>
      <c r="C913" s="199"/>
      <c r="D913" s="199"/>
      <c r="E913" s="199"/>
      <c r="F913" s="199"/>
      <c r="G913" s="199"/>
      <c r="H913" s="199"/>
      <c r="I913" s="199"/>
      <c r="J913" s="199"/>
      <c r="K913" s="199"/>
      <c r="L913" s="199"/>
      <c r="M913" s="199"/>
      <c r="N913" s="199"/>
      <c r="O913" s="199"/>
      <c r="P913" s="199"/>
      <c r="Q913" s="199"/>
      <c r="R913" s="199"/>
      <c r="BE913" s="71"/>
    </row>
    <row r="914" spans="2:18" ht="12.75" hidden="1" outlineLevel="2">
      <c r="B914" s="177"/>
      <c r="C914" s="222" t="s">
        <v>698</v>
      </c>
      <c r="D914" s="177"/>
      <c r="E914" s="210" t="s">
        <v>703</v>
      </c>
      <c r="F914" s="177"/>
      <c r="G914" s="210" t="s">
        <v>260</v>
      </c>
      <c r="H914" s="177"/>
      <c r="I914" s="177"/>
      <c r="J914" s="210" t="s">
        <v>317</v>
      </c>
      <c r="K914" s="177"/>
      <c r="L914" s="177"/>
      <c r="M914" s="177"/>
      <c r="N914" s="177"/>
      <c r="O914" s="177"/>
      <c r="P914" s="177"/>
      <c r="Q914" s="177"/>
      <c r="R914" s="177"/>
    </row>
    <row r="915" spans="2:18" s="71" customFormat="1" ht="6.75" hidden="1" outlineLevel="2">
      <c r="B915" s="187"/>
      <c r="C915" s="187"/>
      <c r="D915" s="187"/>
      <c r="E915" s="187"/>
      <c r="F915" s="187"/>
      <c r="G915" s="187"/>
      <c r="H915" s="187"/>
      <c r="I915" s="187"/>
      <c r="J915" s="187"/>
      <c r="K915" s="187"/>
      <c r="L915" s="187"/>
      <c r="M915" s="187"/>
      <c r="N915" s="187"/>
      <c r="O915" s="187"/>
      <c r="P915" s="187"/>
      <c r="Q915" s="187"/>
      <c r="R915" s="187"/>
    </row>
    <row r="916" spans="2:18" ht="12.75" hidden="1" outlineLevel="2">
      <c r="B916" s="177"/>
      <c r="C916" s="223" t="s">
        <v>699</v>
      </c>
      <c r="D916" s="177"/>
      <c r="E916" s="141"/>
      <c r="F916" s="188" t="s">
        <v>270</v>
      </c>
      <c r="G916" s="324" t="s">
        <v>265</v>
      </c>
      <c r="H916" s="325"/>
      <c r="I916" s="177"/>
      <c r="J916" s="324" t="s">
        <v>265</v>
      </c>
      <c r="K916" s="325"/>
      <c r="L916" s="177"/>
      <c r="M916" s="177"/>
      <c r="N916" s="177"/>
      <c r="O916" s="177"/>
      <c r="P916" s="177"/>
      <c r="Q916" s="177"/>
      <c r="R916" s="177"/>
    </row>
    <row r="917" spans="2:18" s="71" customFormat="1" ht="6.75" hidden="1" outlineLevel="2">
      <c r="B917" s="187"/>
      <c r="C917" s="187"/>
      <c r="D917" s="187"/>
      <c r="E917" s="187"/>
      <c r="F917" s="187"/>
      <c r="G917" s="187"/>
      <c r="H917" s="187"/>
      <c r="I917" s="187"/>
      <c r="J917" s="187"/>
      <c r="K917" s="187"/>
      <c r="L917" s="187"/>
      <c r="M917" s="187"/>
      <c r="N917" s="187"/>
      <c r="O917" s="187"/>
      <c r="P917" s="187"/>
      <c r="Q917" s="187"/>
      <c r="R917" s="187"/>
    </row>
    <row r="918" spans="2:18" ht="12.75" hidden="1" outlineLevel="2">
      <c r="B918" s="177"/>
      <c r="C918" s="223" t="s">
        <v>700</v>
      </c>
      <c r="D918" s="177"/>
      <c r="E918" s="141"/>
      <c r="F918" s="188" t="s">
        <v>270</v>
      </c>
      <c r="G918" s="324" t="s">
        <v>265</v>
      </c>
      <c r="H918" s="325"/>
      <c r="I918" s="177"/>
      <c r="J918" s="324" t="s">
        <v>265</v>
      </c>
      <c r="K918" s="325"/>
      <c r="L918" s="177"/>
      <c r="M918" s="177"/>
      <c r="N918" s="177"/>
      <c r="O918" s="177"/>
      <c r="P918" s="177"/>
      <c r="Q918" s="177"/>
      <c r="R918" s="177"/>
    </row>
    <row r="919" spans="2:18" s="71" customFormat="1" ht="6.75" hidden="1" outlineLevel="2">
      <c r="B919" s="187"/>
      <c r="C919" s="187"/>
      <c r="D919" s="187"/>
      <c r="E919" s="187"/>
      <c r="F919" s="187"/>
      <c r="G919" s="187"/>
      <c r="H919" s="187"/>
      <c r="I919" s="187"/>
      <c r="J919" s="187"/>
      <c r="K919" s="187"/>
      <c r="L919" s="187"/>
      <c r="M919" s="187"/>
      <c r="N919" s="187"/>
      <c r="O919" s="187"/>
      <c r="P919" s="187"/>
      <c r="Q919" s="187"/>
      <c r="R919" s="187"/>
    </row>
    <row r="920" spans="2:57" ht="12.75" hidden="1" outlineLevel="2">
      <c r="B920" s="177"/>
      <c r="C920" s="223" t="s">
        <v>701</v>
      </c>
      <c r="D920" s="177"/>
      <c r="E920" s="141"/>
      <c r="F920" s="188" t="s">
        <v>270</v>
      </c>
      <c r="G920" s="324" t="s">
        <v>265</v>
      </c>
      <c r="H920" s="325"/>
      <c r="I920" s="177"/>
      <c r="J920" s="324" t="s">
        <v>265</v>
      </c>
      <c r="K920" s="325"/>
      <c r="L920" s="177"/>
      <c r="M920" s="177"/>
      <c r="N920" s="177"/>
      <c r="O920" s="177"/>
      <c r="P920" s="177"/>
      <c r="Q920" s="177"/>
      <c r="R920" s="177"/>
      <c r="BE920" s="81"/>
    </row>
    <row r="921" spans="2:18" s="71" customFormat="1" ht="6.75" hidden="1" outlineLevel="2">
      <c r="B921" s="187"/>
      <c r="C921" s="187"/>
      <c r="D921" s="187"/>
      <c r="E921" s="187"/>
      <c r="F921" s="187"/>
      <c r="G921" s="187"/>
      <c r="H921" s="187"/>
      <c r="I921" s="187"/>
      <c r="J921" s="187"/>
      <c r="K921" s="187"/>
      <c r="L921" s="187"/>
      <c r="M921" s="187"/>
      <c r="N921" s="187"/>
      <c r="O921" s="187"/>
      <c r="P921" s="187"/>
      <c r="Q921" s="187"/>
      <c r="R921" s="187"/>
    </row>
    <row r="922" spans="2:57" ht="12.75" hidden="1" outlineLevel="2">
      <c r="B922" s="177"/>
      <c r="C922" s="223" t="s">
        <v>702</v>
      </c>
      <c r="D922" s="177"/>
      <c r="E922" s="141"/>
      <c r="F922" s="188" t="s">
        <v>270</v>
      </c>
      <c r="G922" s="324" t="s">
        <v>265</v>
      </c>
      <c r="H922" s="325"/>
      <c r="I922" s="177"/>
      <c r="J922" s="324" t="s">
        <v>265</v>
      </c>
      <c r="K922" s="325"/>
      <c r="L922" s="177"/>
      <c r="M922" s="177"/>
      <c r="N922" s="177"/>
      <c r="O922" s="177"/>
      <c r="P922" s="177"/>
      <c r="Q922" s="177"/>
      <c r="R922" s="177"/>
      <c r="BE922" s="80"/>
    </row>
    <row r="923" spans="2:18" s="71" customFormat="1" ht="6.75" hidden="1" outlineLevel="2">
      <c r="B923" s="187"/>
      <c r="C923" s="187"/>
      <c r="D923" s="187"/>
      <c r="E923" s="187"/>
      <c r="F923" s="187"/>
      <c r="G923" s="187"/>
      <c r="H923" s="187"/>
      <c r="I923" s="187"/>
      <c r="J923" s="187"/>
      <c r="K923" s="187"/>
      <c r="L923" s="187"/>
      <c r="M923" s="187"/>
      <c r="N923" s="187"/>
      <c r="O923" s="187"/>
      <c r="P923" s="187"/>
      <c r="Q923" s="187"/>
      <c r="R923" s="187"/>
    </row>
    <row r="924" spans="2:57" ht="12.75" hidden="1" outlineLevel="2">
      <c r="B924" s="177"/>
      <c r="C924" s="223" t="s">
        <v>704</v>
      </c>
      <c r="D924" s="177"/>
      <c r="E924" s="141"/>
      <c r="F924" s="188" t="s">
        <v>270</v>
      </c>
      <c r="G924" s="324" t="s">
        <v>265</v>
      </c>
      <c r="H924" s="325"/>
      <c r="I924" s="177"/>
      <c r="J924" s="324" t="s">
        <v>265</v>
      </c>
      <c r="K924" s="325"/>
      <c r="L924" s="177"/>
      <c r="M924" s="177"/>
      <c r="N924" s="177"/>
      <c r="O924" s="177"/>
      <c r="P924" s="177"/>
      <c r="Q924" s="177"/>
      <c r="R924" s="177"/>
      <c r="BE924" s="71"/>
    </row>
    <row r="925" spans="2:18" s="71" customFormat="1" ht="6.75" hidden="1" outlineLevel="2">
      <c r="B925" s="187"/>
      <c r="C925" s="187"/>
      <c r="D925" s="187"/>
      <c r="E925" s="187"/>
      <c r="F925" s="187"/>
      <c r="G925" s="187"/>
      <c r="H925" s="187"/>
      <c r="I925" s="187"/>
      <c r="J925" s="187"/>
      <c r="K925" s="187"/>
      <c r="L925" s="187"/>
      <c r="M925" s="187"/>
      <c r="N925" s="187"/>
      <c r="O925" s="187"/>
      <c r="P925" s="187"/>
      <c r="Q925" s="187"/>
      <c r="R925" s="187"/>
    </row>
    <row r="926" spans="2:57" ht="12.75" hidden="1" outlineLevel="2">
      <c r="B926" s="177"/>
      <c r="C926" s="223" t="s">
        <v>705</v>
      </c>
      <c r="D926" s="177"/>
      <c r="E926" s="141"/>
      <c r="F926" s="188" t="s">
        <v>270</v>
      </c>
      <c r="G926" s="324" t="s">
        <v>265</v>
      </c>
      <c r="H926" s="325"/>
      <c r="I926" s="177"/>
      <c r="J926" s="324" t="s">
        <v>265</v>
      </c>
      <c r="K926" s="325"/>
      <c r="L926" s="177"/>
      <c r="M926" s="177"/>
      <c r="N926" s="177"/>
      <c r="O926" s="177"/>
      <c r="P926" s="177"/>
      <c r="Q926" s="177"/>
      <c r="R926" s="177"/>
      <c r="BE926" s="71"/>
    </row>
    <row r="927" spans="2:18" s="71" customFormat="1" ht="6.75" hidden="1" outlineLevel="2">
      <c r="B927" s="187"/>
      <c r="C927" s="187"/>
      <c r="D927" s="187"/>
      <c r="E927" s="187"/>
      <c r="F927" s="187"/>
      <c r="G927" s="187"/>
      <c r="H927" s="187"/>
      <c r="I927" s="187"/>
      <c r="J927" s="187"/>
      <c r="K927" s="187"/>
      <c r="L927" s="187"/>
      <c r="M927" s="187"/>
      <c r="N927" s="187"/>
      <c r="O927" s="187"/>
      <c r="P927" s="187"/>
      <c r="Q927" s="187"/>
      <c r="R927" s="187"/>
    </row>
    <row r="928" spans="2:57" ht="12.75" hidden="1" outlineLevel="2">
      <c r="B928" s="177"/>
      <c r="C928" s="223" t="s">
        <v>706</v>
      </c>
      <c r="D928" s="177"/>
      <c r="E928" s="141"/>
      <c r="F928" s="188" t="s">
        <v>270</v>
      </c>
      <c r="G928" s="324" t="s">
        <v>265</v>
      </c>
      <c r="H928" s="325"/>
      <c r="I928" s="177"/>
      <c r="J928" s="324" t="s">
        <v>265</v>
      </c>
      <c r="K928" s="325"/>
      <c r="L928" s="177"/>
      <c r="M928" s="177"/>
      <c r="N928" s="177"/>
      <c r="O928" s="177"/>
      <c r="P928" s="177"/>
      <c r="Q928" s="177"/>
      <c r="R928" s="177"/>
      <c r="BE928" s="71"/>
    </row>
    <row r="929" spans="2:18" s="71" customFormat="1" ht="6.75" hidden="1" outlineLevel="2">
      <c r="B929" s="187"/>
      <c r="C929" s="187"/>
      <c r="D929" s="187"/>
      <c r="E929" s="187"/>
      <c r="F929" s="187"/>
      <c r="G929" s="187"/>
      <c r="H929" s="187"/>
      <c r="I929" s="187"/>
      <c r="J929" s="187"/>
      <c r="K929" s="187"/>
      <c r="L929" s="187"/>
      <c r="M929" s="187"/>
      <c r="N929" s="187"/>
      <c r="O929" s="187"/>
      <c r="P929" s="187"/>
      <c r="Q929" s="187"/>
      <c r="R929" s="187"/>
    </row>
    <row r="930" spans="2:57" ht="12.75" hidden="1" outlineLevel="2">
      <c r="B930" s="177"/>
      <c r="C930" s="223" t="s">
        <v>707</v>
      </c>
      <c r="D930" s="177"/>
      <c r="E930" s="141"/>
      <c r="F930" s="188" t="s">
        <v>270</v>
      </c>
      <c r="G930" s="324" t="s">
        <v>265</v>
      </c>
      <c r="H930" s="325"/>
      <c r="I930" s="177"/>
      <c r="J930" s="324" t="s">
        <v>265</v>
      </c>
      <c r="K930" s="325"/>
      <c r="L930" s="177"/>
      <c r="M930" s="177"/>
      <c r="N930" s="177"/>
      <c r="O930" s="177"/>
      <c r="P930" s="177"/>
      <c r="Q930" s="177"/>
      <c r="R930" s="177"/>
      <c r="BE930" s="71"/>
    </row>
    <row r="931" spans="2:18" s="80" customFormat="1" ht="8.25" hidden="1" outlineLevel="2">
      <c r="B931" s="199"/>
      <c r="C931" s="199"/>
      <c r="D931" s="199"/>
      <c r="E931" s="199"/>
      <c r="F931" s="199"/>
      <c r="G931" s="199"/>
      <c r="H931" s="199"/>
      <c r="I931" s="199"/>
      <c r="J931" s="199"/>
      <c r="K931" s="199"/>
      <c r="L931" s="199"/>
      <c r="M931" s="199"/>
      <c r="N931" s="199"/>
      <c r="O931" s="199"/>
      <c r="P931" s="199"/>
      <c r="Q931" s="199"/>
      <c r="R931" s="199"/>
    </row>
    <row r="932" spans="2:57" s="81" customFormat="1" ht="11.25" hidden="1" outlineLevel="1">
      <c r="B932" s="219"/>
      <c r="C932" s="257"/>
      <c r="D932" s="258"/>
      <c r="E932" s="258"/>
      <c r="F932" s="258"/>
      <c r="G932" s="258"/>
      <c r="H932" s="258"/>
      <c r="I932" s="258"/>
      <c r="J932" s="219"/>
      <c r="K932" s="219"/>
      <c r="L932" s="219"/>
      <c r="M932" s="219"/>
      <c r="N932" s="219"/>
      <c r="O932" s="219"/>
      <c r="P932" s="219"/>
      <c r="Q932" s="219"/>
      <c r="R932" s="219"/>
      <c r="BE932" s="71"/>
    </row>
    <row r="933" spans="2:57" s="111" customFormat="1" ht="12.75" hidden="1" outlineLevel="1">
      <c r="B933" s="177"/>
      <c r="C933" s="198" t="s">
        <v>718</v>
      </c>
      <c r="D933" s="259"/>
      <c r="E933" s="259"/>
      <c r="F933" s="259"/>
      <c r="G933" s="259"/>
      <c r="H933" s="259"/>
      <c r="I933" s="259"/>
      <c r="J933" s="260"/>
      <c r="K933" s="260"/>
      <c r="L933" s="260"/>
      <c r="M933" s="260"/>
      <c r="N933" s="260"/>
      <c r="O933" s="260"/>
      <c r="P933" s="260"/>
      <c r="Q933" s="260"/>
      <c r="R933" s="260"/>
      <c r="BE933" s="54"/>
    </row>
    <row r="934" spans="2:57" s="80" customFormat="1" ht="8.25" hidden="1" outlineLevel="2">
      <c r="B934" s="199"/>
      <c r="C934" s="261"/>
      <c r="D934" s="251"/>
      <c r="E934" s="251"/>
      <c r="F934" s="251"/>
      <c r="G934" s="155"/>
      <c r="H934" s="262"/>
      <c r="I934" s="251"/>
      <c r="J934" s="199"/>
      <c r="K934" s="199"/>
      <c r="L934" s="199"/>
      <c r="M934" s="199"/>
      <c r="N934" s="199"/>
      <c r="O934" s="199"/>
      <c r="P934" s="199"/>
      <c r="Q934" s="199"/>
      <c r="R934" s="199"/>
      <c r="BE934" s="71"/>
    </row>
    <row r="935" spans="2:57" s="83" customFormat="1" ht="12.75" hidden="1" outlineLevel="2">
      <c r="B935" s="215"/>
      <c r="C935" s="223" t="s">
        <v>476</v>
      </c>
      <c r="D935" s="263"/>
      <c r="E935" s="141"/>
      <c r="F935" s="188" t="s">
        <v>270</v>
      </c>
      <c r="G935" s="326" t="s">
        <v>265</v>
      </c>
      <c r="H935" s="327"/>
      <c r="I935" s="224" t="s">
        <v>422</v>
      </c>
      <c r="J935" s="215"/>
      <c r="K935" s="215"/>
      <c r="L935" s="215"/>
      <c r="M935" s="215"/>
      <c r="N935" s="215"/>
      <c r="O935" s="215"/>
      <c r="P935" s="215"/>
      <c r="Q935" s="215"/>
      <c r="R935" s="215"/>
      <c r="BE935" s="54"/>
    </row>
    <row r="936" spans="2:18" s="71" customFormat="1" ht="6.75" hidden="1" outlineLevel="2">
      <c r="B936" s="187"/>
      <c r="C936" s="264"/>
      <c r="D936" s="184"/>
      <c r="E936" s="184"/>
      <c r="F936" s="184"/>
      <c r="G936" s="157"/>
      <c r="H936" s="265"/>
      <c r="I936" s="184"/>
      <c r="J936" s="187"/>
      <c r="K936" s="187"/>
      <c r="L936" s="187"/>
      <c r="M936" s="187"/>
      <c r="N936" s="187"/>
      <c r="O936" s="187"/>
      <c r="P936" s="187"/>
      <c r="Q936" s="187"/>
      <c r="R936" s="187"/>
    </row>
    <row r="937" spans="2:57" s="83" customFormat="1" ht="12.75" hidden="1" outlineLevel="2">
      <c r="B937" s="215"/>
      <c r="C937" s="223" t="s">
        <v>475</v>
      </c>
      <c r="D937" s="263"/>
      <c r="E937" s="141"/>
      <c r="F937" s="188" t="s">
        <v>270</v>
      </c>
      <c r="G937" s="324" t="s">
        <v>265</v>
      </c>
      <c r="H937" s="325"/>
      <c r="I937" s="224" t="s">
        <v>422</v>
      </c>
      <c r="J937" s="215"/>
      <c r="K937" s="215"/>
      <c r="L937" s="215"/>
      <c r="M937" s="215"/>
      <c r="N937" s="215"/>
      <c r="O937" s="215"/>
      <c r="P937" s="215"/>
      <c r="Q937" s="215"/>
      <c r="R937" s="215"/>
      <c r="BE937" s="54"/>
    </row>
    <row r="938" spans="2:57" s="71" customFormat="1" ht="8.25" hidden="1" outlineLevel="2">
      <c r="B938" s="187"/>
      <c r="C938" s="264"/>
      <c r="D938" s="184"/>
      <c r="E938" s="184"/>
      <c r="F938" s="184"/>
      <c r="G938" s="157"/>
      <c r="H938" s="265"/>
      <c r="I938" s="184"/>
      <c r="J938" s="187"/>
      <c r="K938" s="187"/>
      <c r="L938" s="187"/>
      <c r="M938" s="187"/>
      <c r="N938" s="187"/>
      <c r="O938" s="187"/>
      <c r="P938" s="187"/>
      <c r="Q938" s="187"/>
      <c r="R938" s="187"/>
      <c r="BE938" s="80"/>
    </row>
    <row r="939" spans="2:57" s="83" customFormat="1" ht="12.75" hidden="1" outlineLevel="2">
      <c r="B939" s="215"/>
      <c r="C939" s="223" t="s">
        <v>474</v>
      </c>
      <c r="D939" s="263"/>
      <c r="E939" s="141"/>
      <c r="F939" s="188" t="s">
        <v>270</v>
      </c>
      <c r="G939" s="324" t="s">
        <v>265</v>
      </c>
      <c r="H939" s="325"/>
      <c r="I939" s="224" t="s">
        <v>422</v>
      </c>
      <c r="J939" s="215"/>
      <c r="K939" s="215"/>
      <c r="L939" s="215"/>
      <c r="M939" s="215"/>
      <c r="N939" s="215"/>
      <c r="O939" s="215"/>
      <c r="P939" s="215"/>
      <c r="Q939" s="215"/>
      <c r="R939" s="215"/>
      <c r="BE939" s="81"/>
    </row>
    <row r="940" spans="2:18" s="71" customFormat="1" ht="6.75" hidden="1" outlineLevel="2">
      <c r="B940" s="187"/>
      <c r="C940" s="264"/>
      <c r="D940" s="184"/>
      <c r="E940" s="184"/>
      <c r="F940" s="184"/>
      <c r="G940" s="157"/>
      <c r="H940" s="265"/>
      <c r="I940" s="184"/>
      <c r="J940" s="187"/>
      <c r="K940" s="187"/>
      <c r="L940" s="187"/>
      <c r="M940" s="187"/>
      <c r="N940" s="187"/>
      <c r="O940" s="187"/>
      <c r="P940" s="187"/>
      <c r="Q940" s="187"/>
      <c r="R940" s="187"/>
    </row>
    <row r="941" spans="2:57" s="83" customFormat="1" ht="12.75" hidden="1" outlineLevel="2">
      <c r="B941" s="215"/>
      <c r="C941" s="223" t="s">
        <v>473</v>
      </c>
      <c r="D941" s="263"/>
      <c r="E941" s="141"/>
      <c r="F941" s="188" t="s">
        <v>270</v>
      </c>
      <c r="G941" s="324" t="s">
        <v>265</v>
      </c>
      <c r="H941" s="325"/>
      <c r="I941" s="224" t="s">
        <v>422</v>
      </c>
      <c r="J941" s="215"/>
      <c r="K941" s="215"/>
      <c r="L941" s="215"/>
      <c r="M941" s="215"/>
      <c r="N941" s="215"/>
      <c r="O941" s="215"/>
      <c r="P941" s="215"/>
      <c r="Q941" s="215"/>
      <c r="R941" s="215"/>
      <c r="BE941" s="80"/>
    </row>
    <row r="942" spans="2:18" s="71" customFormat="1" ht="6.75" hidden="1" outlineLevel="2">
      <c r="B942" s="187"/>
      <c r="C942" s="264"/>
      <c r="D942" s="184"/>
      <c r="E942" s="184"/>
      <c r="F942" s="184"/>
      <c r="G942" s="157"/>
      <c r="H942" s="265"/>
      <c r="I942" s="184"/>
      <c r="J942" s="187"/>
      <c r="K942" s="187"/>
      <c r="L942" s="187"/>
      <c r="M942" s="187"/>
      <c r="N942" s="187"/>
      <c r="O942" s="187"/>
      <c r="P942" s="187"/>
      <c r="Q942" s="187"/>
      <c r="R942" s="187"/>
    </row>
    <row r="943" spans="2:57" s="83" customFormat="1" ht="12.75" hidden="1" outlineLevel="2">
      <c r="B943" s="215"/>
      <c r="C943" s="223" t="s">
        <v>719</v>
      </c>
      <c r="D943" s="263"/>
      <c r="E943" s="141"/>
      <c r="F943" s="188" t="s">
        <v>270</v>
      </c>
      <c r="G943" s="332"/>
      <c r="H943" s="332"/>
      <c r="I943" s="224"/>
      <c r="J943" s="215"/>
      <c r="K943" s="215"/>
      <c r="L943" s="215"/>
      <c r="M943" s="215"/>
      <c r="N943" s="215"/>
      <c r="O943" s="215"/>
      <c r="P943" s="215"/>
      <c r="Q943" s="215"/>
      <c r="R943" s="215"/>
      <c r="BE943" s="71"/>
    </row>
    <row r="944" spans="2:18" s="71" customFormat="1" ht="6.75" hidden="1" outlineLevel="2">
      <c r="B944" s="187"/>
      <c r="C944" s="214"/>
      <c r="D944" s="184"/>
      <c r="E944" s="184"/>
      <c r="F944" s="184"/>
      <c r="G944" s="157"/>
      <c r="H944" s="265"/>
      <c r="I944" s="184"/>
      <c r="J944" s="187"/>
      <c r="K944" s="187"/>
      <c r="L944" s="187"/>
      <c r="M944" s="187"/>
      <c r="N944" s="187"/>
      <c r="O944" s="187"/>
      <c r="P944" s="187"/>
      <c r="Q944" s="187"/>
      <c r="R944" s="187"/>
    </row>
    <row r="945" spans="2:57" s="83" customFormat="1" ht="12.75" hidden="1" outlineLevel="2">
      <c r="B945" s="215"/>
      <c r="C945" s="223" t="s">
        <v>720</v>
      </c>
      <c r="D945" s="263"/>
      <c r="E945" s="337" t="s">
        <v>265</v>
      </c>
      <c r="F945" s="338"/>
      <c r="G945" s="266" t="s">
        <v>722</v>
      </c>
      <c r="H945" s="141"/>
      <c r="I945" s="188" t="s">
        <v>723</v>
      </c>
      <c r="J945" s="215"/>
      <c r="K945" s="215"/>
      <c r="L945" s="324" t="s">
        <v>265</v>
      </c>
      <c r="M945" s="325"/>
      <c r="N945" s="224" t="s">
        <v>422</v>
      </c>
      <c r="O945" s="215"/>
      <c r="P945" s="215"/>
      <c r="Q945" s="215"/>
      <c r="R945" s="215"/>
      <c r="BE945" s="71"/>
    </row>
    <row r="946" spans="2:18" s="80" customFormat="1" ht="8.25" hidden="1" outlineLevel="2">
      <c r="B946" s="199"/>
      <c r="C946" s="261"/>
      <c r="D946" s="251"/>
      <c r="E946" s="251"/>
      <c r="F946" s="251"/>
      <c r="G946" s="155"/>
      <c r="H946" s="262"/>
      <c r="I946" s="251"/>
      <c r="J946" s="199"/>
      <c r="K946" s="199"/>
      <c r="L946" s="199"/>
      <c r="M946" s="199"/>
      <c r="N946" s="199"/>
      <c r="O946" s="199"/>
      <c r="P946" s="199"/>
      <c r="Q946" s="199"/>
      <c r="R946" s="199"/>
    </row>
    <row r="947" spans="2:18" s="81" customFormat="1" ht="11.25" hidden="1" outlineLevel="1">
      <c r="B947" s="219"/>
      <c r="C947" s="258"/>
      <c r="D947" s="258"/>
      <c r="E947" s="258"/>
      <c r="F947" s="258"/>
      <c r="G947" s="258"/>
      <c r="H947" s="258"/>
      <c r="I947" s="258"/>
      <c r="J947" s="219"/>
      <c r="K947" s="219"/>
      <c r="L947" s="219"/>
      <c r="M947" s="219"/>
      <c r="N947" s="219"/>
      <c r="O947" s="219"/>
      <c r="P947" s="219"/>
      <c r="Q947" s="219"/>
      <c r="R947" s="219"/>
    </row>
    <row r="948" spans="2:18" s="83" customFormat="1" ht="12.75">
      <c r="B948" s="215"/>
      <c r="C948" s="267"/>
      <c r="D948" s="268"/>
      <c r="E948" s="268"/>
      <c r="F948" s="268"/>
      <c r="G948" s="152"/>
      <c r="H948" s="266"/>
      <c r="I948" s="263"/>
      <c r="J948" s="215"/>
      <c r="K948" s="215"/>
      <c r="L948" s="215"/>
      <c r="M948" s="215"/>
      <c r="N948" s="215"/>
      <c r="O948" s="215"/>
      <c r="P948" s="215"/>
      <c r="Q948" s="215"/>
      <c r="R948" s="215"/>
    </row>
    <row r="949" spans="2:57" s="77" customFormat="1" ht="12.75">
      <c r="B949" s="202"/>
      <c r="C949" s="179"/>
      <c r="D949" s="179"/>
      <c r="E949" s="179"/>
      <c r="F949" s="179"/>
      <c r="G949" s="179"/>
      <c r="H949" s="179"/>
      <c r="I949" s="179"/>
      <c r="J949" s="202"/>
      <c r="K949" s="202"/>
      <c r="L949" s="202"/>
      <c r="M949" s="202"/>
      <c r="N949" s="202"/>
      <c r="O949" s="202"/>
      <c r="P949" s="202"/>
      <c r="Q949" s="202"/>
      <c r="R949" s="202"/>
      <c r="BE949" s="71"/>
    </row>
    <row r="950" spans="2:18" s="83" customFormat="1" ht="9.75" customHeight="1">
      <c r="B950" s="215"/>
      <c r="C950" s="267"/>
      <c r="D950" s="268"/>
      <c r="E950" s="268"/>
      <c r="F950" s="268"/>
      <c r="G950" s="152"/>
      <c r="H950" s="266"/>
      <c r="I950" s="263"/>
      <c r="J950" s="215"/>
      <c r="K950" s="215"/>
      <c r="L950" s="215"/>
      <c r="M950" s="215"/>
      <c r="N950" s="215"/>
      <c r="O950" s="215"/>
      <c r="P950" s="215"/>
      <c r="Q950" s="215"/>
      <c r="R950" s="215"/>
    </row>
    <row r="951" spans="3:57" s="83" customFormat="1" ht="12.75">
      <c r="C951" s="154"/>
      <c r="D951" s="154"/>
      <c r="E951" s="154"/>
      <c r="F951" s="154"/>
      <c r="G951" s="154"/>
      <c r="H951" s="154"/>
      <c r="I951" s="154"/>
      <c r="BE951" s="71"/>
    </row>
    <row r="952" spans="3:9" s="83" customFormat="1" ht="12.75">
      <c r="C952" s="150"/>
      <c r="D952" s="151"/>
      <c r="E952" s="151"/>
      <c r="F952" s="151"/>
      <c r="G952" s="158"/>
      <c r="H952" s="153"/>
      <c r="I952" s="154"/>
    </row>
    <row r="953" spans="3:9" s="83" customFormat="1" ht="12.75">
      <c r="C953" s="154"/>
      <c r="D953" s="154"/>
      <c r="E953" s="154"/>
      <c r="F953" s="154"/>
      <c r="G953" s="154"/>
      <c r="H953" s="154"/>
      <c r="I953" s="154"/>
    </row>
    <row r="954" spans="3:9" s="83" customFormat="1" ht="12.75">
      <c r="C954" s="150"/>
      <c r="D954" s="151"/>
      <c r="E954" s="151"/>
      <c r="F954" s="151"/>
      <c r="G954" s="158"/>
      <c r="H954" s="153"/>
      <c r="I954" s="154"/>
    </row>
    <row r="955" spans="3:9" s="83" customFormat="1" ht="12.75">
      <c r="C955" s="154"/>
      <c r="D955" s="154"/>
      <c r="E955" s="154"/>
      <c r="F955" s="154"/>
      <c r="G955" s="154"/>
      <c r="H955" s="154"/>
      <c r="I955" s="154"/>
    </row>
    <row r="956" spans="3:9" s="83" customFormat="1" ht="12.75">
      <c r="C956" s="150"/>
      <c r="D956" s="151"/>
      <c r="E956" s="151"/>
      <c r="F956" s="151"/>
      <c r="G956" s="158"/>
      <c r="H956" s="153"/>
      <c r="I956" s="154"/>
    </row>
    <row r="957" spans="3:9" s="83" customFormat="1" ht="12.75">
      <c r="C957" s="154"/>
      <c r="D957" s="154"/>
      <c r="E957" s="154"/>
      <c r="F957" s="154"/>
      <c r="G957" s="154"/>
      <c r="H957" s="154"/>
      <c r="I957" s="154"/>
    </row>
    <row r="958" spans="3:57" s="83" customFormat="1" ht="12.75">
      <c r="C958" s="150"/>
      <c r="D958" s="151"/>
      <c r="E958" s="151"/>
      <c r="F958" s="151"/>
      <c r="G958" s="158"/>
      <c r="H958" s="153"/>
      <c r="I958" s="154"/>
      <c r="BE958" s="77"/>
    </row>
    <row r="959" spans="3:9" s="83" customFormat="1" ht="12.75">
      <c r="C959" s="154"/>
      <c r="D959" s="154"/>
      <c r="E959" s="154"/>
      <c r="F959" s="154"/>
      <c r="G959" s="154"/>
      <c r="H959" s="154"/>
      <c r="I959" s="154"/>
    </row>
    <row r="960" spans="3:9" s="83" customFormat="1" ht="12.75">
      <c r="C960" s="150"/>
      <c r="D960" s="151"/>
      <c r="E960" s="151"/>
      <c r="F960" s="151"/>
      <c r="G960" s="158"/>
      <c r="H960" s="153"/>
      <c r="I960" s="154"/>
    </row>
    <row r="961" spans="3:9" s="83" customFormat="1" ht="12.75">
      <c r="C961" s="154"/>
      <c r="D961" s="154"/>
      <c r="E961" s="154"/>
      <c r="F961" s="154"/>
      <c r="G961" s="154"/>
      <c r="H961" s="154"/>
      <c r="I961" s="154"/>
    </row>
    <row r="962" spans="3:9" s="83" customFormat="1" ht="12.75">
      <c r="C962" s="150"/>
      <c r="D962" s="151"/>
      <c r="E962" s="151"/>
      <c r="F962" s="151"/>
      <c r="G962" s="158"/>
      <c r="H962" s="153"/>
      <c r="I962" s="154"/>
    </row>
    <row r="963" spans="3:9" s="83" customFormat="1" ht="12.75">
      <c r="C963" s="154"/>
      <c r="D963" s="154"/>
      <c r="E963" s="154"/>
      <c r="F963" s="154"/>
      <c r="G963" s="154"/>
      <c r="H963" s="154"/>
      <c r="I963" s="154"/>
    </row>
    <row r="964" spans="3:9" s="83" customFormat="1" ht="12.75">
      <c r="C964" s="159"/>
      <c r="D964" s="154"/>
      <c r="E964" s="154"/>
      <c r="F964" s="154"/>
      <c r="G964" s="154"/>
      <c r="H964" s="154"/>
      <c r="I964" s="154"/>
    </row>
    <row r="965" spans="3:57" ht="12.75">
      <c r="C965"/>
      <c r="BE965" s="83"/>
    </row>
    <row r="966" spans="3:57" ht="12.75">
      <c r="C966"/>
      <c r="BE966" s="83"/>
    </row>
    <row r="967" ht="12.75">
      <c r="BE967" s="83"/>
    </row>
    <row r="968" ht="12.75">
      <c r="BE968" s="83"/>
    </row>
    <row r="969" ht="12.75">
      <c r="BE969" s="83"/>
    </row>
    <row r="970" ht="12.75">
      <c r="BE970" s="83"/>
    </row>
    <row r="971" ht="12.75">
      <c r="BE971" s="83"/>
    </row>
    <row r="972" ht="12.75">
      <c r="BE972" s="83"/>
    </row>
    <row r="973" ht="12.75">
      <c r="BE973" s="83"/>
    </row>
  </sheetData>
  <sheetProtection formatRows="0" selectLockedCells="1"/>
  <mergeCells count="301">
    <mergeCell ref="J924:K924"/>
    <mergeCell ref="G926:H926"/>
    <mergeCell ref="J926:K926"/>
    <mergeCell ref="G928:H928"/>
    <mergeCell ref="J928:K928"/>
    <mergeCell ref="G930:H930"/>
    <mergeCell ref="J930:K930"/>
    <mergeCell ref="G922:H922"/>
    <mergeCell ref="J922:K922"/>
    <mergeCell ref="E945:F945"/>
    <mergeCell ref="L945:M945"/>
    <mergeCell ref="G935:H935"/>
    <mergeCell ref="G937:H937"/>
    <mergeCell ref="G939:H939"/>
    <mergeCell ref="G941:H941"/>
    <mergeCell ref="G943:H943"/>
    <mergeCell ref="G924:H924"/>
    <mergeCell ref="M903:N903"/>
    <mergeCell ref="M905:N905"/>
    <mergeCell ref="M907:N907"/>
    <mergeCell ref="M909:N909"/>
    <mergeCell ref="G920:H920"/>
    <mergeCell ref="J920:K920"/>
    <mergeCell ref="G916:H916"/>
    <mergeCell ref="J916:K916"/>
    <mergeCell ref="G918:H918"/>
    <mergeCell ref="J918:K918"/>
    <mergeCell ref="H890:I890"/>
    <mergeCell ref="H847:I847"/>
    <mergeCell ref="H857:I857"/>
    <mergeCell ref="H867:I867"/>
    <mergeCell ref="O738:P738"/>
    <mergeCell ref="L775:M775"/>
    <mergeCell ref="L777:M777"/>
    <mergeCell ref="L779:M779"/>
    <mergeCell ref="O742:P742"/>
    <mergeCell ref="L752:M752"/>
    <mergeCell ref="O752:P752"/>
    <mergeCell ref="E879:F879"/>
    <mergeCell ref="O758:P758"/>
    <mergeCell ref="L762:M762"/>
    <mergeCell ref="J783:K783"/>
    <mergeCell ref="L768:M768"/>
    <mergeCell ref="I768:J768"/>
    <mergeCell ref="E892:F892"/>
    <mergeCell ref="J673:K673"/>
    <mergeCell ref="C708:D708"/>
    <mergeCell ref="E849:F849"/>
    <mergeCell ref="E859:F859"/>
    <mergeCell ref="I758:J758"/>
    <mergeCell ref="I764:J764"/>
    <mergeCell ref="C806:D806"/>
    <mergeCell ref="J791:K791"/>
    <mergeCell ref="I762:J762"/>
    <mergeCell ref="C665:D665"/>
    <mergeCell ref="F665:G665"/>
    <mergeCell ref="I665:J665"/>
    <mergeCell ref="E869:F869"/>
    <mergeCell ref="C718:E718"/>
    <mergeCell ref="I722:J722"/>
    <mergeCell ref="I726:J726"/>
    <mergeCell ref="I754:J754"/>
    <mergeCell ref="I752:J752"/>
    <mergeCell ref="C833:D833"/>
    <mergeCell ref="L648:M648"/>
    <mergeCell ref="I658:J658"/>
    <mergeCell ref="L658:M658"/>
    <mergeCell ref="J669:K669"/>
    <mergeCell ref="I654:J654"/>
    <mergeCell ref="L654:M654"/>
    <mergeCell ref="I656:J656"/>
    <mergeCell ref="L656:M656"/>
    <mergeCell ref="O648:P648"/>
    <mergeCell ref="I652:J652"/>
    <mergeCell ref="L652:M652"/>
    <mergeCell ref="I644:J644"/>
    <mergeCell ref="L644:M644"/>
    <mergeCell ref="O644:P644"/>
    <mergeCell ref="I646:J646"/>
    <mergeCell ref="L646:M646"/>
    <mergeCell ref="O646:P646"/>
    <mergeCell ref="I648:J648"/>
    <mergeCell ref="L584:M584"/>
    <mergeCell ref="C638:E638"/>
    <mergeCell ref="I642:J642"/>
    <mergeCell ref="L642:M642"/>
    <mergeCell ref="O642:P642"/>
    <mergeCell ref="C595:D595"/>
    <mergeCell ref="F595:G595"/>
    <mergeCell ref="I595:J595"/>
    <mergeCell ref="C628:D628"/>
    <mergeCell ref="I601:J601"/>
    <mergeCell ref="I578:J578"/>
    <mergeCell ref="L578:M578"/>
    <mergeCell ref="O578:P578"/>
    <mergeCell ref="I586:J586"/>
    <mergeCell ref="L586:M586"/>
    <mergeCell ref="I588:J588"/>
    <mergeCell ref="L588:M588"/>
    <mergeCell ref="I582:J582"/>
    <mergeCell ref="L582:M582"/>
    <mergeCell ref="I584:J584"/>
    <mergeCell ref="I576:J576"/>
    <mergeCell ref="L576:M576"/>
    <mergeCell ref="O576:P576"/>
    <mergeCell ref="L572:M572"/>
    <mergeCell ref="O572:P572"/>
    <mergeCell ref="I574:J574"/>
    <mergeCell ref="L574:M574"/>
    <mergeCell ref="O574:P574"/>
    <mergeCell ref="C568:E568"/>
    <mergeCell ref="I572:J572"/>
    <mergeCell ref="I516:J516"/>
    <mergeCell ref="L516:M516"/>
    <mergeCell ref="K523:L523"/>
    <mergeCell ref="K531:L531"/>
    <mergeCell ref="K525:L525"/>
    <mergeCell ref="K527:L527"/>
    <mergeCell ref="K533:L533"/>
    <mergeCell ref="I512:J512"/>
    <mergeCell ref="L512:M512"/>
    <mergeCell ref="I514:J514"/>
    <mergeCell ref="L514:M514"/>
    <mergeCell ref="L506:M506"/>
    <mergeCell ref="C558:D558"/>
    <mergeCell ref="F554:G554"/>
    <mergeCell ref="I510:J510"/>
    <mergeCell ref="L510:M510"/>
    <mergeCell ref="I502:J502"/>
    <mergeCell ref="L502:M502"/>
    <mergeCell ref="O502:P502"/>
    <mergeCell ref="I504:J504"/>
    <mergeCell ref="L504:M504"/>
    <mergeCell ref="O504:P504"/>
    <mergeCell ref="I506:J506"/>
    <mergeCell ref="I444:J444"/>
    <mergeCell ref="L436:M436"/>
    <mergeCell ref="I438:J438"/>
    <mergeCell ref="L438:M438"/>
    <mergeCell ref="J467:K467"/>
    <mergeCell ref="O506:P506"/>
    <mergeCell ref="C365:D365"/>
    <mergeCell ref="C375:E375"/>
    <mergeCell ref="C496:E496"/>
    <mergeCell ref="I500:J500"/>
    <mergeCell ref="L500:M500"/>
    <mergeCell ref="O500:P500"/>
    <mergeCell ref="O436:P436"/>
    <mergeCell ref="O438:P438"/>
    <mergeCell ref="C486:D486"/>
    <mergeCell ref="I442:J442"/>
    <mergeCell ref="I379:J379"/>
    <mergeCell ref="L379:M379"/>
    <mergeCell ref="L381:M381"/>
    <mergeCell ref="H314:I314"/>
    <mergeCell ref="H318:I318"/>
    <mergeCell ref="C428:E428"/>
    <mergeCell ref="I395:J395"/>
    <mergeCell ref="I381:J381"/>
    <mergeCell ref="I383:J383"/>
    <mergeCell ref="I399:J399"/>
    <mergeCell ref="H310:I310"/>
    <mergeCell ref="E288:F288"/>
    <mergeCell ref="H290:I290"/>
    <mergeCell ref="H298:I298"/>
    <mergeCell ref="E300:F300"/>
    <mergeCell ref="E294:F294"/>
    <mergeCell ref="H294:I294"/>
    <mergeCell ref="H278:I278"/>
    <mergeCell ref="E280:F280"/>
    <mergeCell ref="H284:I284"/>
    <mergeCell ref="E286:F286"/>
    <mergeCell ref="H304:I304"/>
    <mergeCell ref="E306:F306"/>
    <mergeCell ref="C268:D268"/>
    <mergeCell ref="I230:J230"/>
    <mergeCell ref="L230:M230"/>
    <mergeCell ref="C237:D237"/>
    <mergeCell ref="F237:G237"/>
    <mergeCell ref="I237:J237"/>
    <mergeCell ref="I241:J241"/>
    <mergeCell ref="I247:J247"/>
    <mergeCell ref="E249:F249"/>
    <mergeCell ref="E243:F243"/>
    <mergeCell ref="I228:J228"/>
    <mergeCell ref="L228:M228"/>
    <mergeCell ref="I220:J220"/>
    <mergeCell ref="L220:M220"/>
    <mergeCell ref="I224:J224"/>
    <mergeCell ref="L224:M224"/>
    <mergeCell ref="I214:J214"/>
    <mergeCell ref="C200:D200"/>
    <mergeCell ref="I226:J226"/>
    <mergeCell ref="L226:M226"/>
    <mergeCell ref="C210:E210"/>
    <mergeCell ref="I216:J216"/>
    <mergeCell ref="L216:M216"/>
    <mergeCell ref="I218:J218"/>
    <mergeCell ref="L218:M218"/>
    <mergeCell ref="L214:M214"/>
    <mergeCell ref="I155:J155"/>
    <mergeCell ref="I157:J157"/>
    <mergeCell ref="I167:J167"/>
    <mergeCell ref="I149:J149"/>
    <mergeCell ref="I151:J151"/>
    <mergeCell ref="I179:J179"/>
    <mergeCell ref="I169:J169"/>
    <mergeCell ref="I171:J171"/>
    <mergeCell ref="I175:J175"/>
    <mergeCell ref="I177:J177"/>
    <mergeCell ref="E116:F116"/>
    <mergeCell ref="I385:J385"/>
    <mergeCell ref="F120:G120"/>
    <mergeCell ref="F124:G124"/>
    <mergeCell ref="I147:J147"/>
    <mergeCell ref="I165:J165"/>
    <mergeCell ref="I181:J181"/>
    <mergeCell ref="I159:J159"/>
    <mergeCell ref="I161:J161"/>
    <mergeCell ref="I145:J145"/>
    <mergeCell ref="C55:E55"/>
    <mergeCell ref="C75:D75"/>
    <mergeCell ref="C63:D63"/>
    <mergeCell ref="F112:G112"/>
    <mergeCell ref="E71:F71"/>
    <mergeCell ref="C108:E108"/>
    <mergeCell ref="G101:H101"/>
    <mergeCell ref="C90:D90"/>
    <mergeCell ref="O381:P381"/>
    <mergeCell ref="I389:J389"/>
    <mergeCell ref="L389:M389"/>
    <mergeCell ref="I393:J393"/>
    <mergeCell ref="L393:M393"/>
    <mergeCell ref="L391:M391"/>
    <mergeCell ref="I391:J391"/>
    <mergeCell ref="O728:P728"/>
    <mergeCell ref="O214:P214"/>
    <mergeCell ref="O216:P216"/>
    <mergeCell ref="O218:P218"/>
    <mergeCell ref="O220:P220"/>
    <mergeCell ref="O432:P432"/>
    <mergeCell ref="O434:P434"/>
    <mergeCell ref="O383:P383"/>
    <mergeCell ref="O385:P385"/>
    <mergeCell ref="O379:P379"/>
    <mergeCell ref="O722:P722"/>
    <mergeCell ref="I724:J724"/>
    <mergeCell ref="L724:M724"/>
    <mergeCell ref="O724:P724"/>
    <mergeCell ref="L722:M722"/>
    <mergeCell ref="O726:P726"/>
    <mergeCell ref="O732:P732"/>
    <mergeCell ref="O734:P734"/>
    <mergeCell ref="O754:P754"/>
    <mergeCell ref="I756:J756"/>
    <mergeCell ref="L756:M756"/>
    <mergeCell ref="O756:P756"/>
    <mergeCell ref="O736:P736"/>
    <mergeCell ref="O744:P744"/>
    <mergeCell ref="O746:P746"/>
    <mergeCell ref="O748:P748"/>
    <mergeCell ref="K97:L97"/>
    <mergeCell ref="K101:L101"/>
    <mergeCell ref="L764:M764"/>
    <mergeCell ref="I766:J766"/>
    <mergeCell ref="L766:M766"/>
    <mergeCell ref="L754:M754"/>
    <mergeCell ref="L758:M758"/>
    <mergeCell ref="L383:M383"/>
    <mergeCell ref="J465:K465"/>
    <mergeCell ref="I448:J448"/>
    <mergeCell ref="F196:G196"/>
    <mergeCell ref="F264:G264"/>
    <mergeCell ref="F361:G361"/>
    <mergeCell ref="F482:G482"/>
    <mergeCell ref="L395:M395"/>
    <mergeCell ref="I432:J432"/>
    <mergeCell ref="L432:M432"/>
    <mergeCell ref="I434:J434"/>
    <mergeCell ref="L434:M434"/>
    <mergeCell ref="I436:J436"/>
    <mergeCell ref="J909:K909"/>
    <mergeCell ref="J903:K903"/>
    <mergeCell ref="J905:K905"/>
    <mergeCell ref="J907:K907"/>
    <mergeCell ref="L726:M726"/>
    <mergeCell ref="L444:M444"/>
    <mergeCell ref="I446:J446"/>
    <mergeCell ref="L448:M448"/>
    <mergeCell ref="J455:K455"/>
    <mergeCell ref="J463:K463"/>
    <mergeCell ref="F624:G624"/>
    <mergeCell ref="F704:G704"/>
    <mergeCell ref="F829:G829"/>
    <mergeCell ref="J793:K793"/>
    <mergeCell ref="L385:M385"/>
    <mergeCell ref="H877:I877"/>
    <mergeCell ref="L446:M446"/>
    <mergeCell ref="I728:J728"/>
    <mergeCell ref="L728:M728"/>
    <mergeCell ref="L442:M442"/>
  </mergeCells>
  <conditionalFormatting sqref="H51">
    <cfRule type="expression" priority="21" dxfId="21" stopIfTrue="1">
      <formula>C55="Zelf details invoeren"</formula>
    </cfRule>
  </conditionalFormatting>
  <conditionalFormatting sqref="K51">
    <cfRule type="expression" priority="22" dxfId="21" stopIfTrue="1">
      <formula>C55="Zelf details invoeren"</formula>
    </cfRule>
  </conditionalFormatting>
  <conditionalFormatting sqref="H55">
    <cfRule type="expression" priority="23" dxfId="21" stopIfTrue="1">
      <formula>C55="Zelf details invoeren"</formula>
    </cfRule>
  </conditionalFormatting>
  <conditionalFormatting sqref="O752:P752 O754:P754 O756:P756 O758:P758 O722:P722 O724:P724 O726:P726 O728:P728 O732:P732 O734:P734 O736:P736 O738:P738 O742:P742 O744:P744 O746:P746 O748:P748">
    <cfRule type="expression" priority="24" dxfId="22" stopIfTrue="1">
      <formula>$C$718="Zelf details invoeren"</formula>
    </cfRule>
  </conditionalFormatting>
  <conditionalFormatting sqref="J669:K669 I237:J237 F237:G237">
    <cfRule type="expression" priority="4" dxfId="22" stopIfTrue="1">
      <formula>$C$237="Ja"</formula>
    </cfRule>
  </conditionalFormatting>
  <conditionalFormatting sqref="O572:P572 O574:P574 O576:P576 O578:P578">
    <cfRule type="expression" priority="6" dxfId="22" stopIfTrue="1">
      <formula>$C$568="Zelf details invoeren"</formula>
    </cfRule>
  </conditionalFormatting>
  <conditionalFormatting sqref="F595:G595 I595:J595">
    <cfRule type="expression" priority="7" dxfId="22" stopIfTrue="1">
      <formula>$C$595="Ja"</formula>
    </cfRule>
  </conditionalFormatting>
  <conditionalFormatting sqref="F665:G665 I665:J665 L945:M945">
    <cfRule type="expression" priority="9" dxfId="22" stopIfTrue="1">
      <formula>$C$665="Ja"</formula>
    </cfRule>
  </conditionalFormatting>
  <conditionalFormatting sqref="O500:P500 O502:P502 O504:P504 O506:P506">
    <cfRule type="expression" priority="5" dxfId="22" stopIfTrue="1">
      <formula>$C$496="Zelf details invoeren"</formula>
    </cfRule>
  </conditionalFormatting>
  <conditionalFormatting sqref="O432:P432 O434:P434 O436:P436 O438:P438">
    <cfRule type="expression" priority="19" dxfId="22" stopIfTrue="1">
      <formula>$C$428="Zelf details invoeren"</formula>
    </cfRule>
  </conditionalFormatting>
  <conditionalFormatting sqref="O379:P379 O381:P381 O383:P383 O385:P385">
    <cfRule type="expression" priority="20" dxfId="22" stopIfTrue="1">
      <formula>$C$375="Zelf details invoeren"</formula>
    </cfRule>
  </conditionalFormatting>
  <conditionalFormatting sqref="I124 F128">
    <cfRule type="expression" priority="10" dxfId="22" stopIfTrue="1">
      <formula>$B$108=2</formula>
    </cfRule>
  </conditionalFormatting>
  <conditionalFormatting sqref="K55">
    <cfRule type="expression" priority="11" dxfId="23" stopIfTrue="1">
      <formula>$K$53="Toepassing zeef"</formula>
    </cfRule>
  </conditionalFormatting>
  <conditionalFormatting sqref="C67">
    <cfRule type="expression" priority="12" dxfId="22" stopIfTrue="1">
      <formula>AND($C$59&gt;0,$C$63="Ja")</formula>
    </cfRule>
  </conditionalFormatting>
  <conditionalFormatting sqref="E67">
    <cfRule type="expression" priority="13" dxfId="22" stopIfTrue="1">
      <formula>AND($C$59&gt;1,$C$63="Ja")</formula>
    </cfRule>
  </conditionalFormatting>
  <conditionalFormatting sqref="G67">
    <cfRule type="expression" priority="14" dxfId="22" stopIfTrue="1">
      <formula>AND($C$59&gt;2,$C$63="Ja")</formula>
    </cfRule>
  </conditionalFormatting>
  <conditionalFormatting sqref="I67">
    <cfRule type="expression" priority="15" dxfId="22" stopIfTrue="1">
      <formula>AND($C$59&gt;3,$C$63="Ja")</formula>
    </cfRule>
  </conditionalFormatting>
  <conditionalFormatting sqref="K67">
    <cfRule type="expression" priority="16" dxfId="22" stopIfTrue="1">
      <formula>AND($C$59&gt;4,$C$63="Ja")</formula>
    </cfRule>
  </conditionalFormatting>
  <conditionalFormatting sqref="H71 K71">
    <cfRule type="expression" priority="17" dxfId="22" stopIfTrue="1">
      <formula>$C$55="Zelf details invoeren"</formula>
    </cfRule>
  </conditionalFormatting>
  <conditionalFormatting sqref="O214:P214 O216:P216 O218:P218 O220:P220">
    <cfRule type="expression" priority="18" dxfId="22" stopIfTrue="1">
      <formula>$C$210="Zelf details invoeren"</formula>
    </cfRule>
  </conditionalFormatting>
  <conditionalFormatting sqref="O642:P642 O644:P644 O646:P646 O648:P648">
    <cfRule type="expression" priority="41" dxfId="24" stopIfTrue="1">
      <formula>$C$638="Zelf details invoeren"</formula>
    </cfRule>
  </conditionalFormatting>
  <dataValidations count="34">
    <dataValidation type="list" allowBlank="1" showInputMessage="1" showErrorMessage="1" sqref="J669:K669 F595:G595 F665:G665 L945:M945 G935:H935 G937:H937 G939:H939 G941:H941 F237:G237 C75:D75">
      <formula1>$W$9:$W$12</formula1>
    </dataValidation>
    <dataValidation type="list" allowBlank="1" showInputMessage="1" showErrorMessage="1" sqref="C568:C569 C638:C639 C718:C719 C496:C497 C428:C429 C375 C210 C55">
      <formula1>$W$4:$W$7</formula1>
    </dataValidation>
    <dataValidation type="list" allowBlank="1" showInputMessage="1" showErrorMessage="1" sqref="C595:D595 C665:D665 C237:D237 G101:H101 C63:D63">
      <formula1>$W$14:$W$17</formula1>
    </dataValidation>
    <dataValidation type="list" showInputMessage="1" showErrorMessage="1" sqref="H290:I290 J793:K793 J791:K791 J783:K783 L775:M775 L777:M777 L779:M779 J465:K465 J467:K467 J463:K463 K533:L533 K531:L531 K523:L523 J455:K455 I399:J399 K525:L525 K527:L527 H278:I278 H284:I284 H298:I298 H304:I304 H310:I310 H314:I314 H318:I318 F120:G120 F112:G112 F124:G124 K101:L101 H294:I294">
      <formula1>$W$19:$W$26</formula1>
    </dataValidation>
    <dataValidation showInputMessage="1" showErrorMessage="1" sqref="E116:F116 K97:L97"/>
    <dataValidation type="list" showInputMessage="1" showErrorMessage="1" sqref="E71:F71">
      <formula1>$AD$4:$AD$8</formula1>
    </dataValidation>
    <dataValidation type="list" showInputMessage="1" showErrorMessage="1" sqref="I145:J145 I147:J147 I149:J149 I151:J151 I155:J155 I157:J157 I159:J159 I161:J161 I165:J165 I167:J167 I169:J169 I171:J171 I175:J175 I177:J177 I179:J179 I181:J181">
      <formula1>$AD$10:$AD$13</formula1>
    </dataValidation>
    <dataValidation type="list" allowBlank="1" showInputMessage="1" showErrorMessage="1" sqref="M903:N903 M905:N905 M907:N907 M909:N909 E849:F849 E859:F859 E869:F869 E879:F879 E892:F892 C833:D835 C628:D628 C708:D708 C558:D558 C486:D486 C365:D365 C200:D200 C268:D268">
      <formula1>$AD$15:$AD$21</formula1>
    </dataValidation>
    <dataValidation type="list" showInputMessage="1" showErrorMessage="1" sqref="G916:H916 G918:H918 G920:H920 G922:H922 G924:H924 G926:H926 G928:H928 G930:H930 I752:J752 I754:J754 I756:J756 I758:J758 I762:J762 I764:J764 I766:J766 I768:J768 I572:J572 I574:J574 I576:J576 I578:J578 I582:J582 I584:J584 I586:J586 I588:J588 I642:J642 I644:J644 I646:J646 I648:J648 I652:J652 I654:J654 I656:J656 I658:J658 I722:J722 I724:J724 I726:J726 I728:J728 I500:J500 I502:J502 I504:J504 I506:J506 I510:J510 I512:J512 I514:J514 I516:J516 I379:J379 I381:J381 I383:J383 I385:J385 I389:J389 I391:J391 I393:J393 I395:J395 I432:J432 I434:J434 I436:J436 I438:J438 I442:J442 I444:J444 I446:J446 I448:J448 I214:J214 I216:J216 I218:J218 I220:J220 I224:J224 I226:J226 I228:J228 I230:J230">
      <formula1>$AJ$3:$AJ$8</formula1>
    </dataValidation>
    <dataValidation type="list" allowBlank="1" showInputMessage="1" showErrorMessage="1" sqref="I595:J595 I237:J237">
      <formula1>$AO$4:$AO$13</formula1>
    </dataValidation>
    <dataValidation type="list" allowBlank="1" showInputMessage="1" showErrorMessage="1" sqref="I241:J241 I247:J247">
      <formula1>$AJ$19:$AJ$27</formula1>
    </dataValidation>
    <dataValidation type="list" allowBlank="1" showInputMessage="1" showErrorMessage="1" sqref="E249:F249">
      <formula1>$AO$19:$AO$24</formula1>
    </dataValidation>
    <dataValidation type="list" showInputMessage="1" showErrorMessage="1" sqref="O754:P754 O756:P756 O752:P752 O758:P758 O574:P574 O576:P576 O572:P572 O578:P578 O644:P644 O646:P646 O642:P642 O648:P648 O724:P724 O726:P726 O722:P722 O728:P728 O734:P734 O736:P736 O732:P732 O738:P738 O744:P744 O746:P746 O742:P742 O748:P748 O504:P504 O502:P502 O500:P500 O506:P506 O434:P434 O436:P436 O432:P432 O438:P438 O383:P383 O381:P381 O379:P379 O385:P385 O218:P218 O216:P216 O214:P214 O220:P220">
      <formula1>$AT$3:$AT$8</formula1>
    </dataValidation>
    <dataValidation type="list" showInputMessage="1" showErrorMessage="1" sqref="I601:J601">
      <formula1>$AU$19:$AU$27</formula1>
    </dataValidation>
    <dataValidation type="list" showInputMessage="1" showErrorMessage="1" sqref="J673:K673">
      <formula1>$BA$2:$BA$10</formula1>
    </dataValidation>
    <dataValidation type="list" allowBlank="1" showInputMessage="1" showErrorMessage="1" sqref="E243:F243">
      <formula1>$BA$13:$BA$20</formula1>
    </dataValidation>
    <dataValidation type="list" showInputMessage="1" showErrorMessage="1" sqref="J916:K916 J918:K918 J920:K920 J922:K922 J924:K924 J926:K926 J928:K928 J930:K930 L752:M752 L754:M754 L756:M756 L758:M758 L762:M762 L764:M764 L766:M766 L768:M768 L572:M572 L574:M574 L576:M576 L578:M578 L582:M582 L584:M584 L586:M586 L588:M588 L642:M642 L644:M644 L646:M646 L648:M648 L652:M652 L654:M654 L656:M656 L658:M658 L722:M722 L724:M724 L726:M726 L728:M728 L500:M500 L502:M502 L504:M504 L506:M506 L510:M510 L512:M512 L514:M514 L516:M516 L379:M379 L381:M381 L383:M383 L385:M385 L389:M389 L391:M391 L393:M393 L395:M395 L432:M432 L434:M434 L436:M436 L438:M438 L442:M442 L444:M444 L446:M446 L448:M448 L214:M214 L216:M216 L218:M218 L220:M220 L224:M224 L226:M226 L228:M228 L230:M230">
      <formula1>$AJ$10:$AJ$16</formula1>
    </dataValidation>
    <dataValidation allowBlank="1" showInputMessage="1" showErrorMessage="1" promptTitle="m³ grondwater" prompt="Vul hier het aantal m³ 'water' in voor de omvang van de grondwaterverontreiniging" sqref="C19"/>
    <dataValidation type="list" allowBlank="1" showInputMessage="1" showErrorMessage="1" promptTitle="Type componenten" prompt="Lichte componenten zijn aromaten, benzine, kerosine, etc.&#10;&#10;Zware componenten zijn PAK, creosoot, etc." sqref="C806:D807">
      <formula1>$AW$6:$AW$9</formula1>
    </dataValidation>
    <dataValidation allowBlank="1" showInputMessage="1" showErrorMessage="1" promptTitle="Te behandelen bodemvolume" prompt="In de cel wordt de som van de hoeveelheden verwarming middels &quot;three phase heating&quot;, &quot;stoom gestimuleerde extractie&quot; en &quot;verwarmingselement&quot; weergegeven.&#10;&#10;Wanneer dit wenselijk is kan het te behandelen bodemvolume hier nog wel worden aangepast." sqref="H808"/>
    <dataValidation allowBlank="1" showInputMessage="1" showErrorMessage="1" promptTitle="Te behandelen lucht Biobed" prompt="Wordt berekent op basis van de ingevoerde gegevens bij de luchtpompen (aantal en operationele duur). &#10;&#10;De hoeveelheid te behandelen lucht kan hier naar wens worden aangepast of worden verwijderd." sqref="F465"/>
    <dataValidation allowBlank="1" showInputMessage="1" showErrorMessage="1" promptTitle="Te behandelen lucht Actief kool" prompt="Wordt berekent op basis van de ingevoerde gegevens bij de luchtpompen (aantal en operationele duur). &#10;&#10;De hoeveelheid te behandelen lucht kan hier naar wens worden aangepast of worden verwijderd." sqref="F791 F463"/>
    <dataValidation allowBlank="1" showInputMessage="1" showErrorMessage="1" promptTitle="Lucht Katalytische verbranding" prompt="Wordt berekent op basis van de ingevoerde gegevens bij de luchtpompen (aantal en operationele duur). &#10;&#10;De hoeveelheid te behandelen lucht kan hier naar wens worden aangepast of worden verwijderd." sqref="F793 F533 F467"/>
    <dataValidation allowBlank="1" showInputMessage="1" showErrorMessage="1" promptTitle="Te behandelen lucht Aktief kool" prompt="Wordt berekent op basis van de ingevoerde gegevens bij de luchtpompen (aantal en operationele duur). &#10;&#10;De hoeveelheid te behandelen lucht kan hier naar wens worden aangepast of worden verwijderd." sqref="F531"/>
    <dataValidation type="list" allowBlank="1" showInputMessage="1" showErrorMessage="1" sqref="E945:F945">
      <formula1>$BD$2:$BD$11</formula1>
    </dataValidation>
    <dataValidation allowBlank="1" showInputMessage="1" showErrorMessage="1" promptTitle="Hoeveelheid concentraat" prompt="Wordt bepaald door de hoeveelheid aan zoutzuur dat wordt toegepast &gt; concentraat bestaat uit 50% zoutzuur + metalen&#10;Welke vervolgens geneutraliseerd dient te worden met natronloog&#10;&#10;Het model berekend op basis van de hoeveelheid concentraat de loogbehoefte" sqref="H346"/>
    <dataValidation allowBlank="1" showInputMessage="1" showErrorMessage="1" promptTitle="Actief kool" prompt="Wanneer het kool niet meer geregeneerd kan worden wordt deze afgevoerd en verbrand.&#10;&#10;De hoeveelheid af te voeren kool is naar wens aan te passen." sqref="F342"/>
    <dataValidation type="list" allowBlank="1" showInputMessage="1" showErrorMessage="1" sqref="C90:D90">
      <formula1>$AT$31:$AT$34</formula1>
    </dataValidation>
    <dataValidation type="list" allowBlank="1" showInputMessage="1" showErrorMessage="1" sqref="F196:G196 F264:G264 F361:G361 F482:G482 F554:G554 F624:G624 F704:G704 F829:G829 H847:I847 H857:I857 H867:I867 H877:I877 H890:I890 J903:K903 J905:K905 J907:K907 J909:K909">
      <formula1>$BA$25:$BA$30</formula1>
    </dataValidation>
    <dataValidation allowBlank="1" showInputMessage="1" showErrorMessage="1" promptTitle="Brandstofverbruik" prompt="Kies een vervoersmiddel uit de keuzelijst (rechts) of voer zelf het brandstofverbruik in" sqref="C196 C264 C361 C482 C554 C624 C704 C829 E847 E857 E867 E877 E890 G903 G905 G907 G909"/>
    <dataValidation type="list" allowBlank="1" showInputMessage="1" showErrorMessage="1" sqref="E280:F280">
      <formula1>$W$31:$W$36</formula1>
    </dataValidation>
    <dataValidation type="list" allowBlank="1" showInputMessage="1" showErrorMessage="1" sqref="E286:F286 E300:F300 E294:F294">
      <formula1>$AC$31:$AC$36</formula1>
    </dataValidation>
    <dataValidation type="list" allowBlank="1" showInputMessage="1" showErrorMessage="1" sqref="E306:F306">
      <formula1>$AM$31:$AM$36</formula1>
    </dataValidation>
    <dataValidation type="list" allowBlank="1" showInputMessage="1" showErrorMessage="1" sqref="I665:J665">
      <formula1>$AO$5:$AO$13</formula1>
    </dataValidation>
  </dataValidations>
  <printOptions/>
  <pageMargins left="0.75" right="0.75" top="1" bottom="1" header="0.5" footer="0.5"/>
  <pageSetup horizontalDpi="600" verticalDpi="600" orientation="landscape" paperSize="9" scale="80" r:id="rId2"/>
  <rowBreaks count="3" manualBreakCount="3">
    <brk id="44" max="16" man="1"/>
    <brk id="368" max="16" man="1"/>
    <brk id="711" max="16" man="1"/>
  </rowBreaks>
  <ignoredErrors>
    <ignoredError sqref="H346 F342 H49 H53 I51 I55 K49 L51 C65 E65 G65 I65 K65 D67 F67 H67 J67 L67 K69 H69 I71 L71 B108 O430 C361 F465 F463 O377 F467 F235 I235 F593 I593 F531 F533 F663 I663 F791 F793 H808 C196 O212 C264 C624 O720 O730 O740 O750 C829 E847 E857 E867 E877 E890 G903 G905 G907 G909 C704 O640 O570 C554 O498 C482" unlockedFormula="1"/>
  </ignoredErrors>
  <drawing r:id="rId1"/>
</worksheet>
</file>

<file path=xl/worksheets/sheet3.xml><?xml version="1.0" encoding="utf-8"?>
<worksheet xmlns="http://schemas.openxmlformats.org/spreadsheetml/2006/main" xmlns:r="http://schemas.openxmlformats.org/officeDocument/2006/relationships">
  <sheetPr codeName="Blad3">
    <pageSetUpPr fitToPage="1"/>
  </sheetPr>
  <dimension ref="A1:R83"/>
  <sheetViews>
    <sheetView showGridLines="0" zoomScalePageLayoutView="0" workbookViewId="0" topLeftCell="A1">
      <pane ySplit="11" topLeftCell="A12" activePane="bottomLeft" state="frozen"/>
      <selection pane="topLeft" activeCell="A1" sqref="A1"/>
      <selection pane="bottomLeft" activeCell="E7" sqref="E7"/>
    </sheetView>
  </sheetViews>
  <sheetFormatPr defaultColWidth="9.140625" defaultRowHeight="12.75"/>
  <cols>
    <col min="5" max="5" width="12.140625" style="0" bestFit="1" customWidth="1"/>
    <col min="11" max="11" width="10.7109375" style="0" bestFit="1" customWidth="1"/>
  </cols>
  <sheetData>
    <row r="1" spans="1:18" ht="19.5">
      <c r="A1" s="49"/>
      <c r="B1" s="50"/>
      <c r="C1" s="50"/>
      <c r="D1" s="50"/>
      <c r="E1" s="51" t="s">
        <v>1</v>
      </c>
      <c r="F1" s="50"/>
      <c r="G1" s="50"/>
      <c r="H1" s="50"/>
      <c r="I1" s="50"/>
      <c r="J1" s="52" t="s">
        <v>0</v>
      </c>
      <c r="K1" s="53" t="str">
        <f>Invoerscherm!K1</f>
        <v>1.3.1</v>
      </c>
      <c r="L1" s="50"/>
      <c r="M1" s="50"/>
      <c r="N1" s="50"/>
      <c r="O1" s="50"/>
      <c r="P1" s="54"/>
      <c r="Q1" s="54"/>
      <c r="R1" s="54"/>
    </row>
    <row r="2" spans="1:18" ht="12.75">
      <c r="A2" s="49"/>
      <c r="B2" s="49"/>
      <c r="C2" s="49"/>
      <c r="D2" s="49"/>
      <c r="E2" s="55"/>
      <c r="F2" s="49"/>
      <c r="G2" s="49"/>
      <c r="H2" s="49"/>
      <c r="I2" s="49"/>
      <c r="J2" s="49"/>
      <c r="K2" s="49"/>
      <c r="L2" s="49"/>
      <c r="M2" s="49"/>
      <c r="N2" s="49"/>
      <c r="O2" s="49"/>
      <c r="P2" s="54"/>
      <c r="Q2" s="54"/>
      <c r="R2" s="54"/>
    </row>
    <row r="3" spans="1:18" ht="12.75">
      <c r="A3" s="49"/>
      <c r="B3" s="49"/>
      <c r="C3" s="49"/>
      <c r="D3" s="49"/>
      <c r="E3" s="57" t="s">
        <v>600</v>
      </c>
      <c r="F3" s="49"/>
      <c r="G3" s="49"/>
      <c r="H3" s="49"/>
      <c r="I3" s="49"/>
      <c r="J3" s="49"/>
      <c r="K3" s="49"/>
      <c r="L3" s="49"/>
      <c r="M3" s="49"/>
      <c r="N3" s="49"/>
      <c r="O3" s="49"/>
      <c r="P3" s="54"/>
      <c r="Q3" s="54"/>
      <c r="R3" s="54"/>
    </row>
    <row r="4" spans="1:18" ht="12.75">
      <c r="A4" s="49"/>
      <c r="B4" s="49"/>
      <c r="C4" s="49"/>
      <c r="D4" s="49"/>
      <c r="E4" s="60" t="s">
        <v>761</v>
      </c>
      <c r="F4" s="49"/>
      <c r="G4" s="49"/>
      <c r="H4" s="49"/>
      <c r="I4" s="49"/>
      <c r="J4" s="49"/>
      <c r="K4" s="49"/>
      <c r="L4" s="49"/>
      <c r="M4" s="49"/>
      <c r="N4" s="49"/>
      <c r="O4" s="49"/>
      <c r="P4" s="54"/>
      <c r="Q4" s="54"/>
      <c r="R4" s="54"/>
    </row>
    <row r="5" spans="1:18" ht="12.75">
      <c r="A5" s="49"/>
      <c r="B5" s="49"/>
      <c r="C5" s="49"/>
      <c r="D5" s="49"/>
      <c r="E5" s="60" t="s">
        <v>762</v>
      </c>
      <c r="F5" s="49"/>
      <c r="G5" s="49"/>
      <c r="H5" s="49"/>
      <c r="I5" s="49"/>
      <c r="J5" s="49"/>
      <c r="K5" s="49"/>
      <c r="L5" s="49"/>
      <c r="M5" s="49"/>
      <c r="N5" s="49"/>
      <c r="O5" s="49"/>
      <c r="P5" s="54"/>
      <c r="Q5" s="54"/>
      <c r="R5" s="54"/>
    </row>
    <row r="6" spans="1:18" ht="12.75">
      <c r="A6" s="49"/>
      <c r="B6" s="49"/>
      <c r="C6" s="49"/>
      <c r="D6" s="49"/>
      <c r="E6" s="60"/>
      <c r="F6" s="49"/>
      <c r="G6" s="49"/>
      <c r="H6" s="49"/>
      <c r="I6" s="49"/>
      <c r="J6" s="49"/>
      <c r="K6" s="49"/>
      <c r="L6" s="49"/>
      <c r="M6" s="49"/>
      <c r="N6" s="49"/>
      <c r="O6" s="49"/>
      <c r="P6" s="54"/>
      <c r="Q6" s="54"/>
      <c r="R6" s="54"/>
    </row>
    <row r="7" spans="1:18" ht="12.75">
      <c r="A7" s="49"/>
      <c r="B7" s="49"/>
      <c r="C7" s="61" t="s">
        <v>2</v>
      </c>
      <c r="D7" s="49"/>
      <c r="E7" s="62" t="str">
        <f>Invoerscherm!E7</f>
        <v>&lt;&lt;projectnaam&gt;&gt;</v>
      </c>
      <c r="F7" s="63"/>
      <c r="G7" s="63"/>
      <c r="H7" s="63"/>
      <c r="I7" s="63"/>
      <c r="J7" s="49"/>
      <c r="K7" s="49"/>
      <c r="L7" s="49"/>
      <c r="M7" s="49"/>
      <c r="N7" s="49"/>
      <c r="O7" s="49"/>
      <c r="P7" s="54"/>
      <c r="Q7" s="54"/>
      <c r="R7" s="54"/>
    </row>
    <row r="8" spans="1:18" ht="12.75">
      <c r="A8" s="49"/>
      <c r="B8" s="49"/>
      <c r="C8" s="61" t="s">
        <v>4</v>
      </c>
      <c r="D8" s="49"/>
      <c r="E8" s="62" t="str">
        <f>Invoerscherm!E8</f>
        <v>&lt;&lt;saneringsvariant&gt;&gt;</v>
      </c>
      <c r="F8" s="64"/>
      <c r="G8" s="64"/>
      <c r="H8" s="64"/>
      <c r="I8" s="64"/>
      <c r="J8" s="49"/>
      <c r="K8" s="49"/>
      <c r="L8" s="49"/>
      <c r="M8" s="49"/>
      <c r="N8" s="49"/>
      <c r="O8" s="49"/>
      <c r="P8" s="54"/>
      <c r="Q8" s="54"/>
      <c r="R8" s="54"/>
    </row>
    <row r="9" spans="1:18" ht="12.75">
      <c r="A9" s="49"/>
      <c r="B9" s="49"/>
      <c r="C9" s="61" t="s">
        <v>6</v>
      </c>
      <c r="D9" s="49"/>
      <c r="E9" s="295" t="str">
        <f>Invoerscherm!E9</f>
        <v>&lt;&lt;datum&gt;&gt;</v>
      </c>
      <c r="F9" s="64"/>
      <c r="G9" s="64"/>
      <c r="H9" s="64"/>
      <c r="I9" s="64"/>
      <c r="J9" s="49"/>
      <c r="K9" s="49"/>
      <c r="L9" s="49"/>
      <c r="M9" s="49"/>
      <c r="N9" s="49"/>
      <c r="O9" s="49"/>
      <c r="P9" s="54"/>
      <c r="Q9" s="54"/>
      <c r="R9" s="54"/>
    </row>
    <row r="10" spans="1:18" ht="12.75">
      <c r="A10" s="49"/>
      <c r="B10" s="65"/>
      <c r="C10" s="61" t="s">
        <v>8</v>
      </c>
      <c r="D10" s="49"/>
      <c r="E10" s="62" t="str">
        <f>Invoerscherm!E10</f>
        <v>&lt;&lt;naam&gt;&gt;</v>
      </c>
      <c r="F10" s="64"/>
      <c r="G10" s="64"/>
      <c r="H10" s="64"/>
      <c r="I10" s="64"/>
      <c r="J10" s="65"/>
      <c r="K10" s="65"/>
      <c r="L10" s="65"/>
      <c r="M10" s="65"/>
      <c r="N10" s="65"/>
      <c r="O10" s="65"/>
      <c r="P10" s="54"/>
      <c r="Q10" s="54"/>
      <c r="R10" s="54"/>
    </row>
    <row r="11" spans="1:18" s="131" customFormat="1" ht="13.5" thickBot="1">
      <c r="A11" s="127"/>
      <c r="B11" s="127"/>
      <c r="C11" s="128"/>
      <c r="D11" s="127"/>
      <c r="E11" s="129"/>
      <c r="F11" s="127"/>
      <c r="G11" s="127"/>
      <c r="H11" s="127"/>
      <c r="I11" s="127"/>
      <c r="J11" s="127"/>
      <c r="K11" s="127"/>
      <c r="L11" s="127"/>
      <c r="M11" s="127"/>
      <c r="N11" s="127"/>
      <c r="O11" s="127"/>
      <c r="P11" s="130"/>
      <c r="Q11" s="130"/>
      <c r="R11" s="130"/>
    </row>
    <row r="14" spans="2:18" ht="12.75">
      <c r="B14" s="79" t="s">
        <v>601</v>
      </c>
      <c r="E14" s="116">
        <f>SUM(D16:D19)</f>
        <v>0</v>
      </c>
      <c r="F14" s="116" t="s">
        <v>756</v>
      </c>
      <c r="H14" s="79" t="s">
        <v>462</v>
      </c>
      <c r="K14" s="116">
        <f>SUM(J16:J18)</f>
        <v>0</v>
      </c>
      <c r="L14" s="116" t="s">
        <v>756</v>
      </c>
      <c r="N14" s="79" t="s">
        <v>497</v>
      </c>
      <c r="Q14" s="116">
        <f>SUM(P16:P19)</f>
        <v>0</v>
      </c>
      <c r="R14" s="116" t="s">
        <v>756</v>
      </c>
    </row>
    <row r="15" s="133" customFormat="1" ht="6.75"/>
    <row r="16" spans="3:17" ht="12.75">
      <c r="C16" s="117" t="str">
        <f>Berekeningen!A35</f>
        <v>Ontgraven</v>
      </c>
      <c r="D16" s="118">
        <f>((Berekeningen!C35+Berekeningen!D35)/2)/1000</f>
        <v>0</v>
      </c>
      <c r="E16" s="35" t="s">
        <v>759</v>
      </c>
      <c r="I16" s="117" t="str">
        <f>Berekeningen!A56</f>
        <v>Aanleg systeem</v>
      </c>
      <c r="J16" s="118">
        <f>((Berekeningen!C56+Berekeningen!D56)/2)/1000</f>
        <v>0</v>
      </c>
      <c r="K16" s="35" t="s">
        <v>759</v>
      </c>
      <c r="O16" s="117" t="str">
        <f>Berekeningen!A87</f>
        <v>Zuiveringsonderdeel</v>
      </c>
      <c r="P16" s="118">
        <f>((Berekeningen!C87+Berekeningen!D87)/2)/1000</f>
        <v>0</v>
      </c>
      <c r="Q16" s="35" t="s">
        <v>759</v>
      </c>
    </row>
    <row r="17" spans="3:17" ht="12.75">
      <c r="C17" s="117" t="str">
        <f>Berekeningen!A36</f>
        <v>Verwerken</v>
      </c>
      <c r="D17" s="118">
        <f>((Berekeningen!C36+Berekeningen!D36)/2)/1000</f>
        <v>0</v>
      </c>
      <c r="E17" s="35" t="s">
        <v>759</v>
      </c>
      <c r="I17" s="117" t="str">
        <f>Berekeningen!A57</f>
        <v>Onttrekken</v>
      </c>
      <c r="J17" s="118">
        <f>((Berekeningen!C57+Berekeningen!D57)/2)/1000</f>
        <v>0</v>
      </c>
      <c r="K17" s="35" t="s">
        <v>759</v>
      </c>
      <c r="O17" s="117" t="str">
        <f>Berekeningen!A88</f>
        <v>Hulpstoffen / chemicaliёn</v>
      </c>
      <c r="P17" s="118">
        <f>((Berekeningen!C88+Berekeningen!D88)/2)/1000</f>
        <v>0</v>
      </c>
      <c r="Q17" s="35" t="s">
        <v>759</v>
      </c>
    </row>
    <row r="18" spans="3:17" ht="12.75">
      <c r="C18" s="117" t="str">
        <f>Berekeningen!A37</f>
        <v>Materialen</v>
      </c>
      <c r="D18" s="118">
        <f>((Berekeningen!C37+Berekeningen!D37)/2)/1000</f>
        <v>0</v>
      </c>
      <c r="E18" s="35" t="s">
        <v>759</v>
      </c>
      <c r="I18" s="117" t="str">
        <f>Berekeningen!A58</f>
        <v>Transport</v>
      </c>
      <c r="J18" s="118">
        <f>((Berekeningen!C58+Berekeningen!D58)/2)/1000</f>
        <v>0</v>
      </c>
      <c r="K18" s="35" t="s">
        <v>759</v>
      </c>
      <c r="O18" s="117" t="str">
        <f>Berekeningen!A89</f>
        <v>Afvalstoffen</v>
      </c>
      <c r="P18" s="118">
        <f>((Berekeningen!C89+Berekeningen!D89)/2)/1000</f>
        <v>0</v>
      </c>
      <c r="Q18" s="35" t="s">
        <v>759</v>
      </c>
    </row>
    <row r="19" spans="3:17" ht="12.75">
      <c r="C19" s="117" t="str">
        <f>Berekeningen!A38</f>
        <v>Transport</v>
      </c>
      <c r="D19" s="118">
        <f>((Berekeningen!C38+Berekeningen!D38)/2)/1000</f>
        <v>0</v>
      </c>
      <c r="E19" s="35" t="s">
        <v>759</v>
      </c>
      <c r="O19" s="117" t="str">
        <f>Berekeningen!A90</f>
        <v>Transport</v>
      </c>
      <c r="P19" s="118">
        <f>((Berekeningen!C90+Berekeningen!D90)/2)/1000</f>
        <v>0</v>
      </c>
      <c r="Q19" s="35" t="s">
        <v>759</v>
      </c>
    </row>
    <row r="21" spans="2:18" ht="12.75">
      <c r="B21" s="79" t="s">
        <v>613</v>
      </c>
      <c r="E21" s="116">
        <f>SUM(D23:D26)</f>
        <v>0</v>
      </c>
      <c r="F21" s="116" t="s">
        <v>756</v>
      </c>
      <c r="H21" s="79" t="s">
        <v>798</v>
      </c>
      <c r="K21" s="116">
        <f>SUM(J23:J25)</f>
        <v>0</v>
      </c>
      <c r="L21" s="116" t="s">
        <v>756</v>
      </c>
      <c r="N21" s="79" t="s">
        <v>614</v>
      </c>
      <c r="Q21" s="116">
        <f>SUM(P23:P27)</f>
        <v>0</v>
      </c>
      <c r="R21" s="116" t="s">
        <v>756</v>
      </c>
    </row>
    <row r="22" s="133" customFormat="1" ht="6.75"/>
    <row r="23" spans="3:17" ht="12.75">
      <c r="C23" s="117" t="str">
        <f>Berekeningen!A120</f>
        <v>Aanleg systeem</v>
      </c>
      <c r="D23" s="118">
        <f>((Berekeningen!C120+Berekeningen!D120)/2)/1000</f>
        <v>0</v>
      </c>
      <c r="E23" s="35" t="s">
        <v>759</v>
      </c>
      <c r="I23" s="117" t="str">
        <f>Berekeningen!A148</f>
        <v>Aanleg systeem</v>
      </c>
      <c r="J23" s="118">
        <f>((Berekeningen!C148+Berekeningen!D148)/2)/1000</f>
        <v>0</v>
      </c>
      <c r="K23" s="35" t="s">
        <v>759</v>
      </c>
      <c r="O23" s="117" t="str">
        <f>Berekeningen!A174</f>
        <v>Aanleg systeem</v>
      </c>
      <c r="P23" s="118">
        <f>((Berekeningen!C174+Berekeningen!D174)/2)/1000</f>
        <v>0</v>
      </c>
      <c r="Q23" s="35" t="s">
        <v>759</v>
      </c>
    </row>
    <row r="24" spans="3:17" ht="12.75">
      <c r="C24" s="117" t="str">
        <f>Berekeningen!A121</f>
        <v>Instandhouden systeem</v>
      </c>
      <c r="D24" s="118">
        <f>((Berekeningen!C121+Berekeningen!D121)/2)/1000</f>
        <v>0</v>
      </c>
      <c r="E24" s="35" t="s">
        <v>759</v>
      </c>
      <c r="I24" s="117" t="str">
        <f>Berekeningen!A149</f>
        <v>Instandhouden systeem</v>
      </c>
      <c r="J24" s="118">
        <f>((Berekeningen!C149+Berekeningen!D149)/2)/1000</f>
        <v>0</v>
      </c>
      <c r="K24" s="35" t="s">
        <v>759</v>
      </c>
      <c r="O24" s="117" t="str">
        <f>Berekeningen!A175</f>
        <v>Instandhouden systeem</v>
      </c>
      <c r="P24" s="118">
        <f>((Berekeningen!C175+Berekeningen!D175)/2)/1000</f>
        <v>0</v>
      </c>
      <c r="Q24" s="35" t="s">
        <v>759</v>
      </c>
    </row>
    <row r="25" spans="3:17" ht="12.75">
      <c r="C25" s="117" t="str">
        <f>Berekeningen!A122</f>
        <v>Oxidatiereactie</v>
      </c>
      <c r="D25" s="118">
        <f>((Berekeningen!C122+Berekeningen!D122)/2)/1000</f>
        <v>0</v>
      </c>
      <c r="E25" s="35" t="s">
        <v>759</v>
      </c>
      <c r="I25" s="117" t="str">
        <f>Berekeningen!A150</f>
        <v>Transport</v>
      </c>
      <c r="J25" s="118">
        <f>((Berekeningen!C150+Berekeningen!D150)/2)/1000</f>
        <v>0</v>
      </c>
      <c r="K25" s="35" t="s">
        <v>759</v>
      </c>
      <c r="O25" s="117" t="str">
        <f>Berekeningen!A176</f>
        <v>Oxidator</v>
      </c>
      <c r="P25" s="118">
        <f>((Berekeningen!C176+Berekeningen!D176)/2)/1000</f>
        <v>0</v>
      </c>
      <c r="Q25" s="35" t="s">
        <v>759</v>
      </c>
    </row>
    <row r="26" spans="3:17" ht="12.75">
      <c r="C26" s="117" t="str">
        <f>Berekeningen!A123</f>
        <v>Transport</v>
      </c>
      <c r="D26" s="118">
        <f>((Berekeningen!C123+Berekeningen!D123)/2)/1000</f>
        <v>0</v>
      </c>
      <c r="E26" s="35" t="s">
        <v>759</v>
      </c>
      <c r="O26" s="117" t="str">
        <f>Berekeningen!A177</f>
        <v>Oxidatiereactie</v>
      </c>
      <c r="P26" s="118">
        <f>((Berekeningen!C177+Berekeningen!D177)/2)/1000</f>
        <v>0</v>
      </c>
      <c r="Q26" s="35" t="s">
        <v>759</v>
      </c>
    </row>
    <row r="27" spans="15:17" ht="12.75">
      <c r="O27" s="117" t="str">
        <f>Berekeningen!A178</f>
        <v>Transport</v>
      </c>
      <c r="P27" s="118">
        <f>((Berekeningen!C178+Berekeningen!D178)/2)/1000</f>
        <v>0</v>
      </c>
      <c r="Q27" s="35" t="s">
        <v>759</v>
      </c>
    </row>
    <row r="28" spans="15:17" ht="12.75">
      <c r="O28" s="117"/>
      <c r="P28" s="118"/>
      <c r="Q28" s="35"/>
    </row>
    <row r="29" spans="2:18" ht="12.75">
      <c r="B29" s="79" t="s">
        <v>95</v>
      </c>
      <c r="E29" s="116">
        <f>SUM(D31:D35)</f>
        <v>0</v>
      </c>
      <c r="F29" s="116" t="s">
        <v>756</v>
      </c>
      <c r="H29" s="79" t="s">
        <v>251</v>
      </c>
      <c r="K29" s="116">
        <f>SUM(J31:J33)</f>
        <v>0</v>
      </c>
      <c r="L29" s="116" t="s">
        <v>756</v>
      </c>
      <c r="N29" s="79" t="s">
        <v>605</v>
      </c>
      <c r="Q29" s="116">
        <f>SUM(P31:P35)</f>
        <v>0</v>
      </c>
      <c r="R29" s="116" t="s">
        <v>756</v>
      </c>
    </row>
    <row r="30" s="133" customFormat="1" ht="6.75"/>
    <row r="31" spans="3:17" ht="12.75">
      <c r="C31" s="117" t="str">
        <f>Berekeningen!A205</f>
        <v>Aanleg systeem</v>
      </c>
      <c r="D31" s="118">
        <f>((Berekeningen!C205+Berekeningen!D205)/2)/1000</f>
        <v>0</v>
      </c>
      <c r="E31" s="35" t="s">
        <v>759</v>
      </c>
      <c r="I31" s="117" t="str">
        <f>Berekeningen!A250</f>
        <v>Aanleg systeem</v>
      </c>
      <c r="J31" s="118">
        <f>((Berekeningen!C250+Berekeningen!D250)/2)/1000</f>
        <v>0</v>
      </c>
      <c r="K31" s="35" t="s">
        <v>759</v>
      </c>
      <c r="O31" s="117" t="str">
        <f>Berekeningen!A267</f>
        <v>Toezichthouder</v>
      </c>
      <c r="P31" s="118">
        <f>((Berekeningen!C267+Berekeningen!D267)/2)/1000</f>
        <v>0</v>
      </c>
      <c r="Q31" s="35" t="s">
        <v>759</v>
      </c>
    </row>
    <row r="32" spans="3:17" ht="12.75">
      <c r="C32" s="117" t="str">
        <f>Berekeningen!A206</f>
        <v>Instandhouden systeem</v>
      </c>
      <c r="D32" s="118">
        <f>((Berekeningen!C206+Berekeningen!D206)/2)/1000</f>
        <v>0</v>
      </c>
      <c r="E32" s="35" t="s">
        <v>759</v>
      </c>
      <c r="I32" s="117" t="str">
        <f>Berekeningen!A251</f>
        <v>Instandhouden systeem</v>
      </c>
      <c r="J32" s="118">
        <f>((Berekeningen!C251+Berekeningen!D251)/2)/1000</f>
        <v>0</v>
      </c>
      <c r="K32" s="35" t="s">
        <v>759</v>
      </c>
      <c r="O32" s="117" t="str">
        <f>Berekeningen!A268</f>
        <v>Directievoerder</v>
      </c>
      <c r="P32" s="118">
        <f>((Berekeningen!C268+Berekeningen!D268)/2)/1000</f>
        <v>0</v>
      </c>
      <c r="Q32" s="35" t="s">
        <v>759</v>
      </c>
    </row>
    <row r="33" spans="3:17" ht="12.75">
      <c r="C33" s="117" t="str">
        <f>Berekeningen!A207</f>
        <v>Substraat en hulpstoffen</v>
      </c>
      <c r="D33" s="118">
        <f>((Berekeningen!C207+Berekeningen!D207)/2)/1000</f>
        <v>0</v>
      </c>
      <c r="E33" s="35" t="s">
        <v>759</v>
      </c>
      <c r="I33" s="117" t="str">
        <f>Berekeningen!A253</f>
        <v>Transport</v>
      </c>
      <c r="J33" s="118">
        <f>((Berekeningen!C252+Berekeningen!D252)/2)/1000</f>
        <v>0</v>
      </c>
      <c r="K33" s="35" t="s">
        <v>759</v>
      </c>
      <c r="O33" s="117" t="str">
        <f>Berekeningen!A269</f>
        <v>Milieukundig begeleider</v>
      </c>
      <c r="P33" s="118">
        <f>((Berekeningen!C269+Berekeningen!D269)/2)/1000</f>
        <v>0</v>
      </c>
      <c r="Q33" s="35" t="s">
        <v>759</v>
      </c>
    </row>
    <row r="34" spans="3:17" ht="12.75">
      <c r="C34" s="117" t="str">
        <f>Berekeningen!A208</f>
        <v>Substraatreactie</v>
      </c>
      <c r="D34" s="118">
        <f>((Berekeningen!C208+Berekeningen!D208)/2)/1000</f>
        <v>0</v>
      </c>
      <c r="E34" s="35" t="s">
        <v>759</v>
      </c>
      <c r="I34" s="117"/>
      <c r="J34" s="118"/>
      <c r="K34" s="35"/>
      <c r="O34" s="117" t="str">
        <f>Berekeningen!A270</f>
        <v>Onderhoudsmonteur</v>
      </c>
      <c r="P34" s="118">
        <f>((Berekeningen!C270+Berekeningen!D270)/2)/1000</f>
        <v>0</v>
      </c>
      <c r="Q34" s="35" t="s">
        <v>759</v>
      </c>
    </row>
    <row r="35" spans="3:17" ht="12.75">
      <c r="C35" s="117" t="str">
        <f>Berekeningen!A209</f>
        <v>Transport</v>
      </c>
      <c r="D35" s="118">
        <f>((Berekeningen!C209+Berekeningen!D209)/2)/1000</f>
        <v>0</v>
      </c>
      <c r="E35" s="35" t="s">
        <v>759</v>
      </c>
      <c r="I35" s="117"/>
      <c r="J35" s="118"/>
      <c r="K35" s="35"/>
      <c r="O35" s="117" t="str">
        <f>Berekeningen!A271</f>
        <v>Veldmedewerker</v>
      </c>
      <c r="P35" s="118">
        <f>((Berekeningen!C271+Berekeningen!D271)/2)/1000</f>
        <v>0</v>
      </c>
      <c r="Q35" s="35" t="s">
        <v>759</v>
      </c>
    </row>
    <row r="36" spans="3:5" ht="12.75">
      <c r="C36" s="117"/>
      <c r="D36" s="118"/>
      <c r="E36" s="35"/>
    </row>
    <row r="37" spans="2:6" ht="12.75">
      <c r="B37" s="79" t="s">
        <v>696</v>
      </c>
      <c r="E37" s="116">
        <f>SUM(D39:D41)</f>
        <v>0</v>
      </c>
      <c r="F37" s="116" t="s">
        <v>756</v>
      </c>
    </row>
    <row r="38" spans="2:6" ht="12.75">
      <c r="B38" s="133"/>
      <c r="C38" s="133"/>
      <c r="D38" s="133"/>
      <c r="E38" s="133"/>
      <c r="F38" s="133"/>
    </row>
    <row r="39" spans="3:5" ht="12.75">
      <c r="C39" s="117" t="str">
        <f>Berekeningen!A304</f>
        <v>Transport</v>
      </c>
      <c r="D39" s="118">
        <f>((Berekeningen!C304+Berekeningen!D304)/2)/1000</f>
        <v>0</v>
      </c>
      <c r="E39" s="35" t="s">
        <v>759</v>
      </c>
    </row>
    <row r="40" spans="3:5" ht="12.75">
      <c r="C40" s="117" t="str">
        <f>Berekeningen!A305</f>
        <v>Materiaal</v>
      </c>
      <c r="D40" s="118">
        <f>((Berekeningen!C305+Berekeningen!D305)/2)/1000</f>
        <v>0</v>
      </c>
      <c r="E40" s="35" t="s">
        <v>759</v>
      </c>
    </row>
    <row r="41" spans="3:5" ht="12.75">
      <c r="C41" s="117" t="str">
        <f>Berekeningen!A306</f>
        <v>Boorwerk</v>
      </c>
      <c r="D41" s="118">
        <f>((Berekeningen!C306+Berekeningen!D306)/2)/1000</f>
        <v>0</v>
      </c>
      <c r="E41" s="35" t="s">
        <v>759</v>
      </c>
    </row>
    <row r="42" spans="3:5" ht="12.75">
      <c r="C42" s="117"/>
      <c r="D42" s="118"/>
      <c r="E42" s="35"/>
    </row>
    <row r="43" spans="2:12" ht="12.75">
      <c r="B43" s="79" t="s">
        <v>620</v>
      </c>
      <c r="C43" s="117"/>
      <c r="D43" s="118"/>
      <c r="E43" s="116">
        <f>(Invoerscherm!C17*(Invoerscherm!C23-Invoerscherm!C29)*1700+Invoerscherm!C19*(Invoerscherm!C25-Invoerscherm!C31))/1000000</f>
        <v>0</v>
      </c>
      <c r="F43" s="116" t="s">
        <v>256</v>
      </c>
      <c r="I43" s="79" t="s">
        <v>616</v>
      </c>
      <c r="K43" s="124">
        <f>(E14+K14+Q14+E21+K21+Q21+E29+K29+Q29+E37)</f>
        <v>0</v>
      </c>
      <c r="L43" s="116" t="s">
        <v>756</v>
      </c>
    </row>
    <row r="44" spans="2:12" ht="12.75">
      <c r="B44" s="79" t="s">
        <v>615</v>
      </c>
      <c r="C44" s="117"/>
      <c r="D44" s="118"/>
      <c r="E44" s="116">
        <f>Invoerscherm!C17</f>
        <v>0</v>
      </c>
      <c r="F44" s="116" t="s">
        <v>18</v>
      </c>
      <c r="K44" s="124">
        <f>(K43*1000)/9100</f>
        <v>0</v>
      </c>
      <c r="L44" s="116" t="s">
        <v>622</v>
      </c>
    </row>
    <row r="45" spans="3:12" ht="12.75">
      <c r="C45" s="117"/>
      <c r="D45" s="118"/>
      <c r="E45" s="35"/>
      <c r="K45" s="124">
        <f>IF(E43=0,0,(IF(SUM(E14,K14,Q14,Q21,K21,E21,E29,K29,Q29,E37)&gt;0,(($E$14+$K$14+$Q$14+$E$21+$K$21+$Q$21+$E$29+$K$29+$Q$29+E37)/$E$43),0)))</f>
        <v>0</v>
      </c>
      <c r="L45" s="116" t="s">
        <v>757</v>
      </c>
    </row>
    <row r="46" spans="3:12" ht="12.75">
      <c r="C46" s="117"/>
      <c r="D46" s="118"/>
      <c r="E46" s="35"/>
      <c r="K46" s="124">
        <f>IF(E44=0,0,(IF(SUM(E14,K14,Q14,Q21,K21,E21,E29,K29,Q29,E37)&gt;0,(($E$14+$K$14+$Q$14+$E$21+$K$21+$Q$21+$E$29+$K$29+$Q$29+$E$37)/$E$44),0)))</f>
        <v>0</v>
      </c>
      <c r="L46" s="116" t="s">
        <v>758</v>
      </c>
    </row>
    <row r="49" spans="11:12" s="119" customFormat="1" ht="12.75">
      <c r="K49"/>
      <c r="L49"/>
    </row>
    <row r="50" spans="11:12" ht="12.75">
      <c r="K50" s="119"/>
      <c r="L50" s="119"/>
    </row>
    <row r="57" spans="11:12" s="119" customFormat="1" ht="12.75">
      <c r="K57"/>
      <c r="L57"/>
    </row>
    <row r="58" spans="11:12" ht="12.75">
      <c r="K58" s="119"/>
      <c r="L58" s="119"/>
    </row>
    <row r="64" spans="11:12" s="119" customFormat="1" ht="12.75">
      <c r="K64"/>
      <c r="L64"/>
    </row>
    <row r="65" spans="11:12" ht="12.75">
      <c r="K65" s="119"/>
      <c r="L65" s="119"/>
    </row>
    <row r="73" spans="11:12" s="119" customFormat="1" ht="12.75">
      <c r="K73"/>
      <c r="L73"/>
    </row>
    <row r="74" spans="11:12" ht="12.75">
      <c r="K74" s="119"/>
      <c r="L74" s="119"/>
    </row>
    <row r="82" spans="11:12" s="119" customFormat="1" ht="12.75">
      <c r="K82"/>
      <c r="L82"/>
    </row>
    <row r="83" spans="11:12" ht="12.75">
      <c r="K83" s="119"/>
      <c r="L83" s="119"/>
    </row>
  </sheetData>
  <sheetProtection/>
  <printOptions/>
  <pageMargins left="0.75" right="0.75" top="1" bottom="1" header="0.5" footer="0.5"/>
  <pageSetup fitToHeight="1" fitToWidth="1" horizontalDpi="600" verticalDpi="600" orientation="portrait" paperSize="9" scale="49" r:id="rId2"/>
  <drawing r:id="rId1"/>
</worksheet>
</file>

<file path=xl/worksheets/sheet4.xml><?xml version="1.0" encoding="utf-8"?>
<worksheet xmlns="http://schemas.openxmlformats.org/spreadsheetml/2006/main" xmlns:r="http://schemas.openxmlformats.org/officeDocument/2006/relationships">
  <sheetPr codeName="Blad11"/>
  <dimension ref="A1:G55"/>
  <sheetViews>
    <sheetView tabSelected="1" zoomScale="70" zoomScaleNormal="70" zoomScalePageLayoutView="0" workbookViewId="0" topLeftCell="A1">
      <selection activeCell="E43" sqref="E43"/>
    </sheetView>
  </sheetViews>
  <sheetFormatPr defaultColWidth="9.140625" defaultRowHeight="12.75"/>
  <cols>
    <col min="1" max="1" width="21.57421875" style="0" customWidth="1"/>
    <col min="3" max="3" width="23.421875" style="0" bestFit="1" customWidth="1"/>
    <col min="5" max="5" width="37.7109375" style="0" bestFit="1" customWidth="1"/>
    <col min="6" max="6" width="9.140625" style="302" customWidth="1"/>
    <col min="7" max="7" width="9.140625" style="135" customWidth="1"/>
  </cols>
  <sheetData>
    <row r="1" spans="1:6" ht="12.75">
      <c r="A1" s="4" t="s">
        <v>20</v>
      </c>
      <c r="B1" s="4" t="s">
        <v>21</v>
      </c>
      <c r="C1" s="2"/>
      <c r="F1" s="301" t="s">
        <v>775</v>
      </c>
    </row>
    <row r="2" spans="1:6" ht="12.75">
      <c r="A2" s="2" t="s">
        <v>15</v>
      </c>
      <c r="B2" s="2">
        <v>2.67</v>
      </c>
      <c r="C2" s="2" t="s">
        <v>22</v>
      </c>
      <c r="F2" s="302" t="s">
        <v>776</v>
      </c>
    </row>
    <row r="3" spans="1:6" ht="12.75">
      <c r="A3" s="2" t="s">
        <v>23</v>
      </c>
      <c r="B3" s="2">
        <v>2.39</v>
      </c>
      <c r="C3" s="2" t="s">
        <v>24</v>
      </c>
      <c r="F3" s="302" t="s">
        <v>776</v>
      </c>
    </row>
    <row r="4" spans="1:6" ht="12.75">
      <c r="A4" s="2" t="s">
        <v>25</v>
      </c>
      <c r="B4" s="2">
        <v>1.61</v>
      </c>
      <c r="C4" s="2" t="s">
        <v>26</v>
      </c>
      <c r="F4" s="302" t="s">
        <v>776</v>
      </c>
    </row>
    <row r="5" spans="1:6" ht="12.75">
      <c r="A5" s="2" t="s">
        <v>27</v>
      </c>
      <c r="B5" s="84">
        <v>2.7</v>
      </c>
      <c r="C5" s="2" t="s">
        <v>28</v>
      </c>
      <c r="F5" s="302" t="s">
        <v>776</v>
      </c>
    </row>
    <row r="6" spans="1:6" ht="12.75">
      <c r="A6" s="2" t="s">
        <v>29</v>
      </c>
      <c r="B6" s="2">
        <v>1.77</v>
      </c>
      <c r="C6" s="2" t="s">
        <v>30</v>
      </c>
      <c r="F6" s="302" t="s">
        <v>776</v>
      </c>
    </row>
    <row r="7" spans="1:6" ht="12.75">
      <c r="A7" s="2" t="s">
        <v>31</v>
      </c>
      <c r="B7" s="2">
        <v>2.73</v>
      </c>
      <c r="C7" s="2" t="s">
        <v>32</v>
      </c>
      <c r="F7" s="302" t="s">
        <v>776</v>
      </c>
    </row>
    <row r="8" spans="1:6" ht="12.75">
      <c r="A8" s="17" t="s">
        <v>16</v>
      </c>
      <c r="B8" s="17">
        <v>1.723</v>
      </c>
      <c r="C8" s="17" t="s">
        <v>33</v>
      </c>
      <c r="F8" s="302" t="s">
        <v>795</v>
      </c>
    </row>
    <row r="10" spans="1:2" ht="12.75">
      <c r="A10" s="14" t="s">
        <v>20</v>
      </c>
      <c r="B10" s="14" t="s">
        <v>34</v>
      </c>
    </row>
    <row r="11" spans="1:6" ht="12.75">
      <c r="A11" t="s">
        <v>15</v>
      </c>
      <c r="B11">
        <f>(0.4574+0.474)/2</f>
        <v>0.4657</v>
      </c>
      <c r="C11" t="s">
        <v>22</v>
      </c>
      <c r="F11" s="302" t="s">
        <v>777</v>
      </c>
    </row>
    <row r="12" spans="1:6" ht="12.75">
      <c r="A12" t="s">
        <v>23</v>
      </c>
      <c r="B12">
        <f>(0.59312+0.611)/2</f>
        <v>0.60206</v>
      </c>
      <c r="C12" t="s">
        <v>24</v>
      </c>
      <c r="F12" s="302" t="s">
        <v>777</v>
      </c>
    </row>
    <row r="13" spans="1:6" ht="12.75">
      <c r="A13" t="s">
        <v>25</v>
      </c>
      <c r="B13">
        <f>0.144864</f>
        <v>0.144864</v>
      </c>
      <c r="C13" t="s">
        <v>26</v>
      </c>
      <c r="F13" s="302" t="s">
        <v>777</v>
      </c>
    </row>
    <row r="14" spans="1:6" ht="12.75">
      <c r="A14" t="s">
        <v>27</v>
      </c>
      <c r="B14" s="15">
        <v>0.433</v>
      </c>
      <c r="C14" t="s">
        <v>28</v>
      </c>
      <c r="F14" s="302" t="s">
        <v>777</v>
      </c>
    </row>
    <row r="15" spans="1:6" ht="12.75">
      <c r="A15" t="s">
        <v>29</v>
      </c>
      <c r="B15">
        <f>(0.263+0.237)/2</f>
        <v>0.25</v>
      </c>
      <c r="C15" t="s">
        <v>30</v>
      </c>
      <c r="F15" s="302" t="s">
        <v>777</v>
      </c>
    </row>
    <row r="16" spans="1:6" ht="12.75">
      <c r="A16" t="s">
        <v>31</v>
      </c>
      <c r="B16">
        <v>0.229622</v>
      </c>
      <c r="C16" t="s">
        <v>32</v>
      </c>
      <c r="F16" s="302" t="s">
        <v>777</v>
      </c>
    </row>
    <row r="17" spans="1:7" s="10" customFormat="1" ht="12.75">
      <c r="A17" s="10" t="s">
        <v>16</v>
      </c>
      <c r="B17" s="10">
        <v>0.577</v>
      </c>
      <c r="C17" s="10" t="s">
        <v>33</v>
      </c>
      <c r="D17" s="170" t="s">
        <v>752</v>
      </c>
      <c r="F17" s="303" t="s">
        <v>795</v>
      </c>
      <c r="G17" s="292"/>
    </row>
    <row r="19" spans="1:4" ht="12.75">
      <c r="A19" s="4" t="s">
        <v>20</v>
      </c>
      <c r="B19" s="4" t="s">
        <v>35</v>
      </c>
      <c r="C19" s="2"/>
      <c r="D19" s="2"/>
    </row>
    <row r="20" spans="1:6" ht="12.75">
      <c r="A20" s="2" t="s">
        <v>15</v>
      </c>
      <c r="B20" s="2">
        <v>0.845</v>
      </c>
      <c r="C20" s="2" t="s">
        <v>36</v>
      </c>
      <c r="D20" s="2"/>
      <c r="F20" s="302" t="s">
        <v>778</v>
      </c>
    </row>
    <row r="21" spans="1:6" ht="12.75">
      <c r="A21" s="2" t="s">
        <v>23</v>
      </c>
      <c r="B21" s="16">
        <v>0.72</v>
      </c>
      <c r="C21" s="2" t="s">
        <v>36</v>
      </c>
      <c r="D21" s="2"/>
      <c r="F21" s="302" t="s">
        <v>778</v>
      </c>
    </row>
    <row r="22" spans="1:6" ht="12.75">
      <c r="A22" s="2" t="s">
        <v>25</v>
      </c>
      <c r="B22" s="2">
        <v>0.538</v>
      </c>
      <c r="C22" s="2" t="s">
        <v>36</v>
      </c>
      <c r="D22" s="2"/>
      <c r="F22" s="302" t="s">
        <v>779</v>
      </c>
    </row>
    <row r="23" spans="1:6" ht="12.75">
      <c r="A23" s="2" t="s">
        <v>27</v>
      </c>
      <c r="B23" s="16">
        <v>0.95</v>
      </c>
      <c r="C23" s="2" t="s">
        <v>36</v>
      </c>
      <c r="D23" s="2"/>
      <c r="F23" s="302" t="s">
        <v>778</v>
      </c>
    </row>
    <row r="24" spans="1:6" ht="12.75">
      <c r="A24" s="2" t="s">
        <v>29</v>
      </c>
      <c r="B24" s="2">
        <v>0.833</v>
      </c>
      <c r="C24" s="2" t="s">
        <v>37</v>
      </c>
      <c r="D24" s="2"/>
      <c r="F24" s="302" t="s">
        <v>778</v>
      </c>
    </row>
    <row r="25" spans="1:6" ht="12.75">
      <c r="A25" s="2" t="s">
        <v>31</v>
      </c>
      <c r="B25" s="2">
        <v>1.3</v>
      </c>
      <c r="C25" s="2" t="s">
        <v>36</v>
      </c>
      <c r="D25" s="2"/>
      <c r="F25" s="302" t="s">
        <v>778</v>
      </c>
    </row>
    <row r="26" spans="1:6" ht="12.75">
      <c r="A26" s="17" t="s">
        <v>16</v>
      </c>
      <c r="B26" s="17">
        <v>0.87</v>
      </c>
      <c r="C26" s="17" t="s">
        <v>36</v>
      </c>
      <c r="D26" s="2"/>
      <c r="F26" s="302" t="s">
        <v>795</v>
      </c>
    </row>
    <row r="28" spans="1:2" ht="12.75">
      <c r="A28" s="14" t="s">
        <v>792</v>
      </c>
      <c r="B28" s="14" t="s">
        <v>38</v>
      </c>
    </row>
    <row r="29" spans="1:6" ht="12.75">
      <c r="A29" s="18" t="s">
        <v>760</v>
      </c>
      <c r="B29" s="322">
        <v>0.355</v>
      </c>
      <c r="C29" s="19" t="s">
        <v>39</v>
      </c>
      <c r="E29" t="s">
        <v>780</v>
      </c>
      <c r="F29" s="302" t="s">
        <v>781</v>
      </c>
    </row>
    <row r="30" spans="1:6" ht="12.75">
      <c r="A30" t="s">
        <v>40</v>
      </c>
      <c r="B30" s="323">
        <v>0.29</v>
      </c>
      <c r="C30" s="19" t="s">
        <v>39</v>
      </c>
      <c r="F30" s="302" t="s">
        <v>782</v>
      </c>
    </row>
    <row r="31" spans="1:6" ht="12.75">
      <c r="A31" t="s">
        <v>41</v>
      </c>
      <c r="B31">
        <v>0.013</v>
      </c>
      <c r="C31" s="19" t="s">
        <v>39</v>
      </c>
      <c r="F31" s="302" t="s">
        <v>783</v>
      </c>
    </row>
    <row r="32" spans="1:6" ht="12.75">
      <c r="A32" t="s">
        <v>42</v>
      </c>
      <c r="B32">
        <v>0.055</v>
      </c>
      <c r="C32" s="19" t="s">
        <v>39</v>
      </c>
      <c r="F32" s="302" t="s">
        <v>783</v>
      </c>
    </row>
    <row r="33" spans="1:6" ht="12.75">
      <c r="A33" t="s">
        <v>43</v>
      </c>
      <c r="B33">
        <v>0.015</v>
      </c>
      <c r="C33" s="19" t="s">
        <v>39</v>
      </c>
      <c r="F33" s="302" t="s">
        <v>783</v>
      </c>
    </row>
    <row r="34" spans="1:6" ht="12.75">
      <c r="A34" t="s">
        <v>44</v>
      </c>
      <c r="B34" s="20">
        <v>0.54</v>
      </c>
      <c r="C34" s="19" t="s">
        <v>39</v>
      </c>
      <c r="F34" s="302" t="s">
        <v>783</v>
      </c>
    </row>
    <row r="37" spans="1:4" ht="12.75">
      <c r="A37" s="4" t="s">
        <v>45</v>
      </c>
      <c r="B37" s="2"/>
      <c r="C37" s="2"/>
      <c r="D37" s="2"/>
    </row>
    <row r="38" spans="1:4" ht="12.75">
      <c r="A38" s="2" t="s">
        <v>46</v>
      </c>
      <c r="B38" s="2">
        <v>3.6</v>
      </c>
      <c r="C38" s="2" t="s">
        <v>47</v>
      </c>
      <c r="D38" s="2" t="s">
        <v>48</v>
      </c>
    </row>
    <row r="39" spans="1:4" ht="12.75">
      <c r="A39" s="2" t="s">
        <v>49</v>
      </c>
      <c r="B39" s="2">
        <v>1.7</v>
      </c>
      <c r="C39" s="2" t="s">
        <v>50</v>
      </c>
      <c r="D39" s="2"/>
    </row>
    <row r="40" spans="1:3" ht="12.75">
      <c r="A40" s="5" t="s">
        <v>429</v>
      </c>
      <c r="B40" s="2">
        <v>2.3</v>
      </c>
      <c r="C40" s="2" t="s">
        <v>50</v>
      </c>
    </row>
    <row r="41" spans="1:3" ht="12.75">
      <c r="A41" s="5"/>
      <c r="B41" s="2"/>
      <c r="C41" s="2"/>
    </row>
    <row r="42" spans="1:3" ht="12.75">
      <c r="A42" s="5"/>
      <c r="B42" s="2"/>
      <c r="C42" s="2"/>
    </row>
    <row r="44" spans="1:5" ht="12.75">
      <c r="A44" s="14" t="s">
        <v>51</v>
      </c>
      <c r="B44" s="14" t="s">
        <v>52</v>
      </c>
      <c r="C44" s="48"/>
      <c r="D44" s="48"/>
      <c r="E44" s="48"/>
    </row>
    <row r="45" spans="1:5" ht="12.75">
      <c r="A45" s="48" t="s">
        <v>53</v>
      </c>
      <c r="B45" s="48">
        <v>1.41</v>
      </c>
      <c r="C45" s="48" t="s">
        <v>54</v>
      </c>
      <c r="D45" s="48"/>
      <c r="E45" s="48"/>
    </row>
    <row r="46" spans="1:5" ht="12.75">
      <c r="A46" s="48" t="s">
        <v>55</v>
      </c>
      <c r="B46" s="48">
        <v>0.95</v>
      </c>
      <c r="C46" s="48" t="s">
        <v>54</v>
      </c>
      <c r="D46" s="48"/>
      <c r="E46" s="48"/>
    </row>
    <row r="47" spans="1:5" ht="12.75">
      <c r="A47" s="48" t="s">
        <v>56</v>
      </c>
      <c r="B47" s="48">
        <v>0.96</v>
      </c>
      <c r="C47" s="48" t="s">
        <v>54</v>
      </c>
      <c r="D47" s="48"/>
      <c r="E47" s="48"/>
    </row>
    <row r="48" spans="1:5" ht="12.75">
      <c r="A48" s="48" t="s">
        <v>57</v>
      </c>
      <c r="B48" s="48">
        <v>0.92</v>
      </c>
      <c r="C48" s="48" t="s">
        <v>54</v>
      </c>
      <c r="D48" s="48"/>
      <c r="E48" s="48"/>
    </row>
    <row r="49" spans="1:5" ht="12.75">
      <c r="A49" s="48" t="s">
        <v>58</v>
      </c>
      <c r="B49" s="48">
        <v>1.38</v>
      </c>
      <c r="C49" s="48" t="s">
        <v>54</v>
      </c>
      <c r="D49" s="48"/>
      <c r="E49" s="48"/>
    </row>
    <row r="50" spans="1:5" ht="12.75">
      <c r="A50" s="48"/>
      <c r="B50" s="48"/>
      <c r="C50" s="48"/>
      <c r="D50" s="48"/>
      <c r="E50" s="48"/>
    </row>
    <row r="51" spans="1:2" ht="12.75">
      <c r="A51" s="4" t="s">
        <v>59</v>
      </c>
      <c r="B51" s="4" t="s">
        <v>52</v>
      </c>
    </row>
    <row r="52" spans="1:5" ht="12.75">
      <c r="A52" s="5" t="s">
        <v>60</v>
      </c>
      <c r="B52" s="5">
        <f>7.8*10^3</f>
        <v>7800</v>
      </c>
      <c r="C52" s="5" t="s">
        <v>37</v>
      </c>
      <c r="D52" s="5">
        <f>(B52/1000000)*1000</f>
        <v>7.8</v>
      </c>
      <c r="E52" s="5" t="s">
        <v>54</v>
      </c>
    </row>
    <row r="54" spans="1:4" ht="12.75">
      <c r="A54" s="14" t="s">
        <v>61</v>
      </c>
      <c r="B54" s="14" t="s">
        <v>52</v>
      </c>
      <c r="C54" s="48"/>
      <c r="D54" s="48"/>
    </row>
    <row r="55" spans="1:4" ht="12.75">
      <c r="A55" s="48" t="s">
        <v>62</v>
      </c>
      <c r="B55" s="48">
        <v>1300</v>
      </c>
      <c r="C55" s="48" t="s">
        <v>37</v>
      </c>
      <c r="D55" s="48"/>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&amp;L&amp;6&amp;A&amp;C&amp;6Afdrukdatum: &amp;D&amp;R&amp;6&amp;P van &amp;N</oddFooter>
  </headerFooter>
  <rowBreaks count="1" manualBreakCount="1">
    <brk id="56" max="4" man="1"/>
  </rowBreaks>
</worksheet>
</file>

<file path=xl/worksheets/sheet5.xml><?xml version="1.0" encoding="utf-8"?>
<worksheet xmlns="http://schemas.openxmlformats.org/spreadsheetml/2006/main" xmlns:r="http://schemas.openxmlformats.org/officeDocument/2006/relationships">
  <sheetPr codeName="Blad12"/>
  <dimension ref="A1:G15"/>
  <sheetViews>
    <sheetView zoomScale="70" zoomScaleNormal="70" zoomScalePageLayoutView="0" workbookViewId="0" topLeftCell="A1">
      <selection activeCell="K1" sqref="K1"/>
    </sheetView>
  </sheetViews>
  <sheetFormatPr defaultColWidth="9.140625" defaultRowHeight="12.75"/>
  <cols>
    <col min="1" max="1" width="25.8515625" style="0" bestFit="1" customWidth="1"/>
    <col min="2" max="2" width="28.421875" style="0" customWidth="1"/>
    <col min="3" max="3" width="14.00390625" style="0" bestFit="1" customWidth="1"/>
    <col min="4" max="4" width="21.8515625" style="0" customWidth="1"/>
    <col min="5" max="5" width="66.28125" style="0" bestFit="1" customWidth="1"/>
    <col min="6" max="6" width="12.421875" style="0" customWidth="1"/>
    <col min="7" max="7" width="19.28125" style="302" bestFit="1" customWidth="1"/>
  </cols>
  <sheetData>
    <row r="1" spans="1:7" s="14" customFormat="1" ht="12.75">
      <c r="A1" s="14" t="s">
        <v>63</v>
      </c>
      <c r="B1" s="14" t="s">
        <v>64</v>
      </c>
      <c r="C1" s="14" t="s">
        <v>65</v>
      </c>
      <c r="E1" s="14" t="s">
        <v>66</v>
      </c>
      <c r="G1" s="301" t="s">
        <v>775</v>
      </c>
    </row>
    <row r="2" spans="1:7" ht="12.75">
      <c r="A2" t="s">
        <v>67</v>
      </c>
      <c r="B2" t="s">
        <v>68</v>
      </c>
      <c r="C2">
        <v>3.67</v>
      </c>
      <c r="D2" t="s">
        <v>69</v>
      </c>
      <c r="E2" t="s">
        <v>70</v>
      </c>
      <c r="G2" s="302" t="s">
        <v>784</v>
      </c>
    </row>
    <row r="3" spans="1:7" ht="12.75">
      <c r="A3" t="s">
        <v>71</v>
      </c>
      <c r="B3" t="s">
        <v>72</v>
      </c>
      <c r="C3">
        <v>0.44</v>
      </c>
      <c r="D3" t="s">
        <v>73</v>
      </c>
      <c r="E3" t="s">
        <v>74</v>
      </c>
      <c r="G3" s="302" t="s">
        <v>784</v>
      </c>
    </row>
    <row r="4" spans="1:7" ht="12.75">
      <c r="A4" t="s">
        <v>75</v>
      </c>
      <c r="B4" t="s">
        <v>68</v>
      </c>
      <c r="C4">
        <v>0.37</v>
      </c>
      <c r="D4" t="s">
        <v>69</v>
      </c>
      <c r="E4" t="s">
        <v>76</v>
      </c>
      <c r="G4" s="302" t="s">
        <v>784</v>
      </c>
    </row>
    <row r="5" spans="1:7" ht="12.75">
      <c r="A5" s="10" t="s">
        <v>77</v>
      </c>
      <c r="B5" t="s">
        <v>68</v>
      </c>
      <c r="C5">
        <v>0.29</v>
      </c>
      <c r="D5" t="s">
        <v>69</v>
      </c>
      <c r="E5" t="s">
        <v>78</v>
      </c>
      <c r="G5" s="302" t="s">
        <v>784</v>
      </c>
    </row>
    <row r="6" spans="1:7" s="19" customFormat="1" ht="25.5">
      <c r="A6" s="19" t="s">
        <v>79</v>
      </c>
      <c r="B6" s="19" t="s">
        <v>80</v>
      </c>
      <c r="C6" s="19">
        <v>0.26</v>
      </c>
      <c r="D6" s="19" t="s">
        <v>81</v>
      </c>
      <c r="E6" s="18" t="s">
        <v>82</v>
      </c>
      <c r="G6" s="302" t="s">
        <v>784</v>
      </c>
    </row>
    <row r="7" spans="1:7" s="19" customFormat="1" ht="25.5">
      <c r="A7" s="19" t="s">
        <v>83</v>
      </c>
      <c r="B7" s="19" t="s">
        <v>84</v>
      </c>
      <c r="C7" s="19">
        <v>0.11</v>
      </c>
      <c r="D7" s="19" t="s">
        <v>85</v>
      </c>
      <c r="E7" s="18" t="s">
        <v>86</v>
      </c>
      <c r="G7" s="302" t="s">
        <v>784</v>
      </c>
    </row>
    <row r="8" spans="1:7" s="19" customFormat="1" ht="25.5">
      <c r="A8" s="19" t="s">
        <v>87</v>
      </c>
      <c r="B8" s="18" t="s">
        <v>88</v>
      </c>
      <c r="C8" s="19">
        <v>0.015</v>
      </c>
      <c r="D8" s="19" t="s">
        <v>89</v>
      </c>
      <c r="E8" s="18" t="s">
        <v>90</v>
      </c>
      <c r="G8" s="302" t="s">
        <v>784</v>
      </c>
    </row>
    <row r="9" spans="1:7" s="19" customFormat="1" ht="25.5">
      <c r="A9" s="19" t="s">
        <v>91</v>
      </c>
      <c r="B9" s="18" t="s">
        <v>92</v>
      </c>
      <c r="C9" s="19">
        <v>0.045</v>
      </c>
      <c r="D9" s="19" t="s">
        <v>93</v>
      </c>
      <c r="E9" s="18" t="s">
        <v>94</v>
      </c>
      <c r="G9" s="302" t="s">
        <v>784</v>
      </c>
    </row>
    <row r="12" spans="1:7" s="14" customFormat="1" ht="12.75">
      <c r="A12" s="14" t="s">
        <v>95</v>
      </c>
      <c r="C12" s="14" t="s">
        <v>65</v>
      </c>
      <c r="G12" s="305"/>
    </row>
    <row r="13" spans="1:7" ht="12.75">
      <c r="A13" t="s">
        <v>674</v>
      </c>
      <c r="C13" s="12">
        <f>(0.325+(0.215*9))*0.8</f>
        <v>1.8080000000000003</v>
      </c>
      <c r="D13" t="s">
        <v>96</v>
      </c>
      <c r="G13" s="302" t="s">
        <v>784</v>
      </c>
    </row>
    <row r="14" spans="1:7" ht="12.75">
      <c r="A14" t="s">
        <v>675</v>
      </c>
      <c r="C14" s="12">
        <f>(0.234+(0.155*9))*0.8</f>
        <v>1.3032000000000001</v>
      </c>
      <c r="D14" t="s">
        <v>97</v>
      </c>
      <c r="G14" s="302" t="s">
        <v>784</v>
      </c>
    </row>
    <row r="15" spans="1:7" ht="12.75">
      <c r="A15" t="s">
        <v>676</v>
      </c>
      <c r="C15" s="12">
        <f>(1.014+(0.671*9))*0.8</f>
        <v>5.642400000000001</v>
      </c>
      <c r="D15" t="s">
        <v>98</v>
      </c>
      <c r="G15" s="302" t="s">
        <v>784</v>
      </c>
    </row>
  </sheetData>
  <sheetProtection/>
  <printOptions/>
  <pageMargins left="0.7874015748031497" right="0.7874015748031497" top="0.984251968503937" bottom="0.984251968503937" header="0.5118110236220472" footer="0.5118110236220472"/>
  <pageSetup horizontalDpi="600" verticalDpi="600" orientation="landscape" paperSize="9" scale="84" r:id="rId1"/>
  <headerFooter alignWithMargins="0">
    <oddFooter>&amp;L&amp;6&amp;A&amp;C&amp;6Afdrukdatum: &amp;D&amp;R&amp;6&amp;P van &amp;N</oddFooter>
  </headerFooter>
</worksheet>
</file>

<file path=xl/worksheets/sheet6.xml><?xml version="1.0" encoding="utf-8"?>
<worksheet xmlns="http://schemas.openxmlformats.org/spreadsheetml/2006/main" xmlns:r="http://schemas.openxmlformats.org/officeDocument/2006/relationships">
  <sheetPr codeName="Blad13"/>
  <dimension ref="A1:I177"/>
  <sheetViews>
    <sheetView zoomScale="70" zoomScaleNormal="70" zoomScalePageLayoutView="0" workbookViewId="0" topLeftCell="A1">
      <pane ySplit="1" topLeftCell="A23" activePane="bottomLeft" state="frozen"/>
      <selection pane="topLeft" activeCell="J27" sqref="J27"/>
      <selection pane="bottomLeft" activeCell="B59" sqref="B59:E59"/>
    </sheetView>
  </sheetViews>
  <sheetFormatPr defaultColWidth="9.140625" defaultRowHeight="12.75"/>
  <cols>
    <col min="1" max="1" width="19.7109375" style="0" bestFit="1" customWidth="1"/>
    <col min="2" max="2" width="51.8515625" style="0" bestFit="1" customWidth="1"/>
    <col min="3" max="4" width="9.28125" style="0" customWidth="1"/>
    <col min="5" max="5" width="30.8515625" style="0" bestFit="1" customWidth="1"/>
    <col min="6" max="6" width="30.7109375" style="0" customWidth="1"/>
    <col min="7" max="7" width="12.28125" style="2" bestFit="1" customWidth="1"/>
    <col min="8" max="8" width="36.7109375" style="0" bestFit="1" customWidth="1"/>
    <col min="9" max="9" width="37.00390625" style="302" bestFit="1" customWidth="1"/>
  </cols>
  <sheetData>
    <row r="1" spans="1:9" s="23" customFormat="1" ht="15.75">
      <c r="A1" s="22" t="s">
        <v>99</v>
      </c>
      <c r="C1" s="24" t="s">
        <v>100</v>
      </c>
      <c r="D1" s="24" t="s">
        <v>101</v>
      </c>
      <c r="F1" s="23" t="s">
        <v>66</v>
      </c>
      <c r="G1" s="293"/>
      <c r="I1" s="301" t="s">
        <v>775</v>
      </c>
    </row>
    <row r="2" ht="12.75"/>
    <row r="3" spans="1:4" ht="12.75">
      <c r="A3" s="4" t="s">
        <v>11</v>
      </c>
      <c r="B3" s="14" t="s">
        <v>102</v>
      </c>
      <c r="C3" s="14" t="s">
        <v>103</v>
      </c>
      <c r="D3" s="8"/>
    </row>
    <row r="4" spans="2:9" ht="12.75">
      <c r="B4" t="s">
        <v>14</v>
      </c>
      <c r="C4">
        <v>0.17</v>
      </c>
      <c r="D4">
        <v>0.18</v>
      </c>
      <c r="E4" t="s">
        <v>104</v>
      </c>
      <c r="I4" s="302" t="s">
        <v>790</v>
      </c>
    </row>
    <row r="5" spans="2:9" ht="12.75">
      <c r="B5" t="s">
        <v>19</v>
      </c>
      <c r="C5">
        <v>0.22</v>
      </c>
      <c r="D5">
        <f>C5</f>
        <v>0.22</v>
      </c>
      <c r="E5" t="s">
        <v>104</v>
      </c>
      <c r="I5" s="302" t="s">
        <v>790</v>
      </c>
    </row>
    <row r="6" spans="2:9" ht="12.75">
      <c r="B6" t="s">
        <v>105</v>
      </c>
      <c r="C6" s="10">
        <v>0.26</v>
      </c>
      <c r="D6" s="10">
        <f>C6</f>
        <v>0.26</v>
      </c>
      <c r="E6" s="10" t="s">
        <v>104</v>
      </c>
      <c r="I6" s="302" t="s">
        <v>790</v>
      </c>
    </row>
    <row r="7" spans="2:9" ht="12.75">
      <c r="B7" t="s">
        <v>106</v>
      </c>
      <c r="C7">
        <v>30</v>
      </c>
      <c r="D7">
        <f>C7</f>
        <v>30</v>
      </c>
      <c r="E7" t="s">
        <v>107</v>
      </c>
      <c r="I7" s="302" t="s">
        <v>790</v>
      </c>
    </row>
    <row r="8" ht="12.75"/>
    <row r="9" spans="2:4" ht="12.75">
      <c r="B9" s="14" t="s">
        <v>108</v>
      </c>
      <c r="C9" s="14" t="s">
        <v>103</v>
      </c>
      <c r="D9" s="8"/>
    </row>
    <row r="10" spans="2:9" s="10" customFormat="1" ht="12.75">
      <c r="B10" s="10" t="s">
        <v>109</v>
      </c>
      <c r="C10" s="25">
        <v>0.0536</v>
      </c>
      <c r="D10" s="25">
        <f>C10</f>
        <v>0.0536</v>
      </c>
      <c r="E10" s="25" t="s">
        <v>110</v>
      </c>
      <c r="F10" s="171" t="s">
        <v>751</v>
      </c>
      <c r="G10" s="17"/>
      <c r="H10" s="25"/>
      <c r="I10" s="303" t="s">
        <v>785</v>
      </c>
    </row>
    <row r="11" spans="2:9" s="10" customFormat="1" ht="12.75">
      <c r="B11" s="10" t="s">
        <v>111</v>
      </c>
      <c r="C11" s="172">
        <v>0.0214</v>
      </c>
      <c r="D11" s="172">
        <f>C11</f>
        <v>0.0214</v>
      </c>
      <c r="E11" s="25" t="s">
        <v>110</v>
      </c>
      <c r="F11" s="171" t="s">
        <v>751</v>
      </c>
      <c r="G11" s="17"/>
      <c r="I11" s="303" t="s">
        <v>785</v>
      </c>
    </row>
    <row r="12" ht="12.75"/>
    <row r="13" spans="2:3" ht="12.75">
      <c r="B13" s="14" t="s">
        <v>112</v>
      </c>
      <c r="C13" s="14" t="s">
        <v>103</v>
      </c>
    </row>
    <row r="14" spans="2:9" ht="12.75">
      <c r="B14" t="s">
        <v>113</v>
      </c>
      <c r="C14">
        <v>40</v>
      </c>
      <c r="D14">
        <v>50</v>
      </c>
      <c r="E14" t="s">
        <v>114</v>
      </c>
      <c r="I14" s="302" t="s">
        <v>785</v>
      </c>
    </row>
    <row r="15" spans="2:9" ht="12.75">
      <c r="B15" t="s">
        <v>115</v>
      </c>
      <c r="C15">
        <v>0.017</v>
      </c>
      <c r="D15">
        <f>C15</f>
        <v>0.017</v>
      </c>
      <c r="E15" t="s">
        <v>116</v>
      </c>
      <c r="F15" t="s">
        <v>117</v>
      </c>
      <c r="I15" s="302" t="s">
        <v>784</v>
      </c>
    </row>
    <row r="16" spans="2:9" ht="38.25">
      <c r="B16" t="s">
        <v>115</v>
      </c>
      <c r="C16">
        <v>52.5</v>
      </c>
      <c r="D16">
        <f>C16</f>
        <v>52.5</v>
      </c>
      <c r="E16" t="s">
        <v>118</v>
      </c>
      <c r="F16" s="26" t="s">
        <v>119</v>
      </c>
      <c r="I16" s="302" t="s">
        <v>784</v>
      </c>
    </row>
    <row r="17" spans="2:9" ht="38.25">
      <c r="B17" t="s">
        <v>120</v>
      </c>
      <c r="C17">
        <v>10</v>
      </c>
      <c r="D17">
        <v>20</v>
      </c>
      <c r="E17" t="s">
        <v>121</v>
      </c>
      <c r="I17" s="304" t="s">
        <v>787</v>
      </c>
    </row>
    <row r="18" spans="2:9" ht="51">
      <c r="B18" t="s">
        <v>122</v>
      </c>
      <c r="C18">
        <v>5</v>
      </c>
      <c r="D18">
        <f>C18</f>
        <v>5</v>
      </c>
      <c r="E18" t="s">
        <v>121</v>
      </c>
      <c r="I18" s="304" t="s">
        <v>786</v>
      </c>
    </row>
    <row r="19" spans="2:9" ht="12.75">
      <c r="B19" t="s">
        <v>123</v>
      </c>
      <c r="C19">
        <v>1</v>
      </c>
      <c r="D19">
        <v>2.5</v>
      </c>
      <c r="E19" t="s">
        <v>116</v>
      </c>
      <c r="I19" s="302" t="s">
        <v>785</v>
      </c>
    </row>
    <row r="20" spans="2:9" ht="12.75">
      <c r="B20" t="s">
        <v>124</v>
      </c>
      <c r="C20" s="20">
        <f>50/(750/'Datablad 1'!$B$40)</f>
        <v>0.15333333333333332</v>
      </c>
      <c r="D20" s="48">
        <f>50/(100/'Datablad 1'!$B$40)</f>
        <v>1.15</v>
      </c>
      <c r="E20" t="s">
        <v>499</v>
      </c>
      <c r="F20" s="10" t="s">
        <v>727</v>
      </c>
      <c r="I20" s="302" t="s">
        <v>790</v>
      </c>
    </row>
    <row r="21" spans="2:5" ht="12.75">
      <c r="B21" s="10"/>
      <c r="C21" s="10"/>
      <c r="D21" s="10"/>
      <c r="E21" s="10"/>
    </row>
    <row r="22" spans="2:9" ht="12.75">
      <c r="B22" s="10" t="s">
        <v>439</v>
      </c>
      <c r="C22" s="10">
        <v>0.2</v>
      </c>
      <c r="D22" s="10">
        <f>C22</f>
        <v>0.2</v>
      </c>
      <c r="E22" s="10" t="s">
        <v>116</v>
      </c>
      <c r="I22" s="302" t="s">
        <v>790</v>
      </c>
    </row>
    <row r="23" ht="12.75"/>
    <row r="24" spans="2:3" ht="12.75">
      <c r="B24" s="14" t="s">
        <v>125</v>
      </c>
      <c r="C24" s="14" t="s">
        <v>103</v>
      </c>
    </row>
    <row r="25" spans="2:9" ht="12.75">
      <c r="B25" s="10" t="s">
        <v>126</v>
      </c>
      <c r="C25" s="10">
        <f>0.5*1.7</f>
        <v>0.85</v>
      </c>
      <c r="D25" s="10">
        <f>C25</f>
        <v>0.85</v>
      </c>
      <c r="E25" s="10" t="s">
        <v>499</v>
      </c>
      <c r="F25" t="s">
        <v>498</v>
      </c>
      <c r="I25" s="302" t="s">
        <v>791</v>
      </c>
    </row>
    <row r="26" ht="12.75">
      <c r="B26" s="27" t="s">
        <v>127</v>
      </c>
    </row>
    <row r="27" spans="2:9" ht="12.75">
      <c r="B27" t="s">
        <v>128</v>
      </c>
      <c r="C27">
        <v>0.749797</v>
      </c>
      <c r="D27">
        <f aca="true" t="shared" si="0" ref="D27:D32">C27</f>
        <v>0.749797</v>
      </c>
      <c r="E27" t="s">
        <v>129</v>
      </c>
      <c r="I27" s="302" t="s">
        <v>791</v>
      </c>
    </row>
    <row r="28" spans="2:9" ht="12.75">
      <c r="B28" t="s">
        <v>130</v>
      </c>
      <c r="C28">
        <v>0.450083</v>
      </c>
      <c r="D28">
        <f t="shared" si="0"/>
        <v>0.450083</v>
      </c>
      <c r="E28" t="s">
        <v>131</v>
      </c>
      <c r="I28" s="302" t="s">
        <v>791</v>
      </c>
    </row>
    <row r="29" spans="2:9" ht="12.75">
      <c r="B29" t="s">
        <v>435</v>
      </c>
      <c r="C29" s="10">
        <v>2.053742</v>
      </c>
      <c r="D29" s="10">
        <f t="shared" si="0"/>
        <v>2.053742</v>
      </c>
      <c r="E29" s="10" t="s">
        <v>205</v>
      </c>
      <c r="I29" s="302" t="s">
        <v>791</v>
      </c>
    </row>
    <row r="30" spans="2:9" ht="12.75">
      <c r="B30" t="s">
        <v>132</v>
      </c>
      <c r="C30" s="10">
        <v>3.196446</v>
      </c>
      <c r="D30" s="10">
        <f t="shared" si="0"/>
        <v>3.196446</v>
      </c>
      <c r="E30" s="10" t="s">
        <v>133</v>
      </c>
      <c r="I30" s="302" t="s">
        <v>791</v>
      </c>
    </row>
    <row r="31" spans="2:9" ht="12.75">
      <c r="B31" t="s">
        <v>134</v>
      </c>
      <c r="C31" s="10">
        <v>4.41311</v>
      </c>
      <c r="D31" s="10">
        <f t="shared" si="0"/>
        <v>4.41311</v>
      </c>
      <c r="E31" s="10" t="s">
        <v>135</v>
      </c>
      <c r="I31" s="302" t="s">
        <v>791</v>
      </c>
    </row>
    <row r="32" spans="2:9" ht="25.5">
      <c r="B32" t="s">
        <v>136</v>
      </c>
      <c r="C32">
        <v>335</v>
      </c>
      <c r="D32">
        <f t="shared" si="0"/>
        <v>335</v>
      </c>
      <c r="E32" t="s">
        <v>137</v>
      </c>
      <c r="F32" s="284" t="s">
        <v>773</v>
      </c>
      <c r="I32" s="302" t="s">
        <v>791</v>
      </c>
    </row>
    <row r="33" ht="12.75"/>
    <row r="34" ht="12.75"/>
    <row r="35" spans="1:3" ht="12.75">
      <c r="A35" s="4" t="s">
        <v>525</v>
      </c>
      <c r="B35" s="14" t="s">
        <v>139</v>
      </c>
      <c r="C35" s="14" t="s">
        <v>103</v>
      </c>
    </row>
    <row r="36" spans="2:9" ht="12.75">
      <c r="B36" t="s">
        <v>140</v>
      </c>
      <c r="C36">
        <v>3</v>
      </c>
      <c r="D36">
        <f aca="true" t="shared" si="1" ref="D36:D49">C36</f>
        <v>3</v>
      </c>
      <c r="E36" t="s">
        <v>46</v>
      </c>
      <c r="I36" s="302" t="s">
        <v>784</v>
      </c>
    </row>
    <row r="37" spans="2:9" ht="12.75">
      <c r="B37" t="s">
        <v>141</v>
      </c>
      <c r="C37">
        <v>3.5</v>
      </c>
      <c r="D37">
        <f t="shared" si="1"/>
        <v>3.5</v>
      </c>
      <c r="E37" t="s">
        <v>46</v>
      </c>
      <c r="I37" s="302" t="s">
        <v>784</v>
      </c>
    </row>
    <row r="38" spans="2:9" ht="12.75">
      <c r="B38" t="s">
        <v>142</v>
      </c>
      <c r="C38">
        <v>4</v>
      </c>
      <c r="D38">
        <f t="shared" si="1"/>
        <v>4</v>
      </c>
      <c r="E38" t="s">
        <v>46</v>
      </c>
      <c r="I38" s="302" t="s">
        <v>784</v>
      </c>
    </row>
    <row r="39" spans="2:9" ht="12.75">
      <c r="B39" t="s">
        <v>143</v>
      </c>
      <c r="C39" s="28">
        <v>5</v>
      </c>
      <c r="D39">
        <f t="shared" si="1"/>
        <v>5</v>
      </c>
      <c r="E39" t="s">
        <v>46</v>
      </c>
      <c r="I39" s="302" t="s">
        <v>784</v>
      </c>
    </row>
    <row r="40" ht="12.75">
      <c r="C40" s="28"/>
    </row>
    <row r="41" spans="2:9" ht="12.75">
      <c r="B41" t="s">
        <v>144</v>
      </c>
      <c r="C41">
        <v>0.8</v>
      </c>
      <c r="D41">
        <f t="shared" si="1"/>
        <v>0.8</v>
      </c>
      <c r="E41" t="s">
        <v>46</v>
      </c>
      <c r="I41" s="302" t="s">
        <v>784</v>
      </c>
    </row>
    <row r="42" spans="2:9" ht="12.75">
      <c r="B42" t="s">
        <v>145</v>
      </c>
      <c r="C42">
        <v>1.85</v>
      </c>
      <c r="D42">
        <f t="shared" si="1"/>
        <v>1.85</v>
      </c>
      <c r="E42" t="s">
        <v>46</v>
      </c>
      <c r="I42" s="302" t="s">
        <v>784</v>
      </c>
    </row>
    <row r="43" spans="2:9" ht="12.75">
      <c r="B43" t="s">
        <v>146</v>
      </c>
      <c r="C43">
        <v>2.2</v>
      </c>
      <c r="D43">
        <f t="shared" si="1"/>
        <v>2.2</v>
      </c>
      <c r="E43" t="s">
        <v>46</v>
      </c>
      <c r="I43" s="302" t="s">
        <v>784</v>
      </c>
    </row>
    <row r="44" spans="2:9" ht="12.75">
      <c r="B44" t="s">
        <v>147</v>
      </c>
      <c r="C44">
        <v>4</v>
      </c>
      <c r="D44">
        <f t="shared" si="1"/>
        <v>4</v>
      </c>
      <c r="E44" t="s">
        <v>46</v>
      </c>
      <c r="I44" s="302" t="s">
        <v>784</v>
      </c>
    </row>
    <row r="45" spans="2:4" ht="12.75">
      <c r="B45" s="21"/>
      <c r="C45" s="29"/>
      <c r="D45" s="21"/>
    </row>
    <row r="46" spans="1:9" ht="12.75">
      <c r="A46" s="4" t="s">
        <v>152</v>
      </c>
      <c r="B46" t="s">
        <v>148</v>
      </c>
      <c r="C46">
        <v>0.4</v>
      </c>
      <c r="D46">
        <f t="shared" si="1"/>
        <v>0.4</v>
      </c>
      <c r="E46" t="s">
        <v>46</v>
      </c>
      <c r="I46" s="302" t="s">
        <v>784</v>
      </c>
    </row>
    <row r="47" spans="2:9" ht="12.75">
      <c r="B47" t="s">
        <v>149</v>
      </c>
      <c r="C47" s="28">
        <v>1</v>
      </c>
      <c r="D47">
        <f t="shared" si="1"/>
        <v>1</v>
      </c>
      <c r="E47" t="s">
        <v>46</v>
      </c>
      <c r="I47" s="302" t="s">
        <v>784</v>
      </c>
    </row>
    <row r="48" spans="2:9" ht="12.75">
      <c r="B48" t="s">
        <v>799</v>
      </c>
      <c r="C48" s="28">
        <v>2</v>
      </c>
      <c r="D48">
        <v>3</v>
      </c>
      <c r="E48" t="s">
        <v>46</v>
      </c>
      <c r="I48" s="302" t="s">
        <v>784</v>
      </c>
    </row>
    <row r="49" spans="2:9" ht="12.75">
      <c r="B49" t="s">
        <v>150</v>
      </c>
      <c r="C49" s="28">
        <v>4</v>
      </c>
      <c r="D49">
        <f t="shared" si="1"/>
        <v>4</v>
      </c>
      <c r="E49" t="s">
        <v>46</v>
      </c>
      <c r="I49" s="302" t="s">
        <v>784</v>
      </c>
    </row>
    <row r="50" ht="12.75">
      <c r="C50" s="28"/>
    </row>
    <row r="51" spans="1:9" ht="12.75">
      <c r="A51" s="4" t="s">
        <v>138</v>
      </c>
      <c r="B51" s="10" t="s">
        <v>624</v>
      </c>
      <c r="C51" s="30">
        <f>C41</f>
        <v>0.8</v>
      </c>
      <c r="D51" s="30">
        <f aca="true" t="shared" si="2" ref="D51:D56">C51</f>
        <v>0.8</v>
      </c>
      <c r="E51" s="30" t="s">
        <v>46</v>
      </c>
      <c r="I51" s="302" t="s">
        <v>784</v>
      </c>
    </row>
    <row r="52" spans="2:9" ht="12.75">
      <c r="B52" s="10" t="s">
        <v>625</v>
      </c>
      <c r="C52" s="30">
        <f>C42</f>
        <v>1.85</v>
      </c>
      <c r="D52" s="30">
        <f t="shared" si="2"/>
        <v>1.85</v>
      </c>
      <c r="E52" s="30" t="s">
        <v>46</v>
      </c>
      <c r="I52" s="302" t="s">
        <v>784</v>
      </c>
    </row>
    <row r="53" spans="2:9" ht="12.75">
      <c r="B53" s="10" t="s">
        <v>626</v>
      </c>
      <c r="C53" s="30">
        <f>C43</f>
        <v>2.2</v>
      </c>
      <c r="D53" s="30">
        <f t="shared" si="2"/>
        <v>2.2</v>
      </c>
      <c r="E53" s="30" t="s">
        <v>46</v>
      </c>
      <c r="I53" s="302" t="s">
        <v>784</v>
      </c>
    </row>
    <row r="54" spans="2:9" ht="12.75">
      <c r="B54" s="10" t="s">
        <v>627</v>
      </c>
      <c r="C54" s="30">
        <f>C44</f>
        <v>4</v>
      </c>
      <c r="D54" s="30">
        <f t="shared" si="2"/>
        <v>4</v>
      </c>
      <c r="E54" s="30" t="s">
        <v>46</v>
      </c>
      <c r="I54" s="302" t="s">
        <v>784</v>
      </c>
    </row>
    <row r="55" spans="2:9" ht="12.75">
      <c r="B55" s="10" t="s">
        <v>628</v>
      </c>
      <c r="C55" s="30">
        <f>C54*4</f>
        <v>16</v>
      </c>
      <c r="D55" s="30">
        <f t="shared" si="2"/>
        <v>16</v>
      </c>
      <c r="E55" s="30" t="s">
        <v>46</v>
      </c>
      <c r="I55" s="302" t="s">
        <v>784</v>
      </c>
    </row>
    <row r="56" spans="2:9" ht="12.75">
      <c r="B56" s="10" t="s">
        <v>629</v>
      </c>
      <c r="C56" s="30">
        <f>C55*2</f>
        <v>32</v>
      </c>
      <c r="D56" s="30">
        <f t="shared" si="2"/>
        <v>32</v>
      </c>
      <c r="E56" s="30" t="s">
        <v>46</v>
      </c>
      <c r="I56" s="302" t="s">
        <v>784</v>
      </c>
    </row>
    <row r="57" spans="3:9" s="10" customFormat="1" ht="12.75">
      <c r="C57" s="30"/>
      <c r="G57" s="17"/>
      <c r="I57" s="303"/>
    </row>
    <row r="58" spans="1:9" s="10" customFormat="1" ht="12.75">
      <c r="A58" s="4" t="s">
        <v>336</v>
      </c>
      <c r="B58" s="10" t="s">
        <v>753</v>
      </c>
      <c r="C58" s="46" t="s">
        <v>337</v>
      </c>
      <c r="G58" s="17"/>
      <c r="I58" s="303" t="s">
        <v>784</v>
      </c>
    </row>
    <row r="59" spans="1:9" s="10" customFormat="1" ht="12.75">
      <c r="A59" s="4"/>
      <c r="B59" s="160">
        <v>2.4</v>
      </c>
      <c r="C59" s="160">
        <v>0.7</v>
      </c>
      <c r="D59" s="25">
        <f>C59</f>
        <v>0.7</v>
      </c>
      <c r="E59" s="25" t="s">
        <v>338</v>
      </c>
      <c r="G59" s="17"/>
      <c r="I59" s="303" t="s">
        <v>784</v>
      </c>
    </row>
    <row r="60" spans="1:9" s="10" customFormat="1" ht="12.75">
      <c r="A60" s="4"/>
      <c r="B60" s="319">
        <v>3.4</v>
      </c>
      <c r="C60" s="319">
        <v>0.95</v>
      </c>
      <c r="D60" s="47">
        <f aca="true" t="shared" si="3" ref="D60:D67">C60</f>
        <v>0.95</v>
      </c>
      <c r="E60" s="47" t="s">
        <v>338</v>
      </c>
      <c r="G60" s="17"/>
      <c r="I60" s="303" t="s">
        <v>784</v>
      </c>
    </row>
    <row r="61" spans="1:9" s="10" customFormat="1" ht="12.75">
      <c r="A61" s="4"/>
      <c r="B61" s="319">
        <v>5.2</v>
      </c>
      <c r="C61" s="319">
        <v>1.3</v>
      </c>
      <c r="D61" s="47">
        <f t="shared" si="3"/>
        <v>1.3</v>
      </c>
      <c r="E61" s="47" t="s">
        <v>338</v>
      </c>
      <c r="G61" s="17"/>
      <c r="I61" s="303" t="s">
        <v>784</v>
      </c>
    </row>
    <row r="62" spans="1:9" s="10" customFormat="1" ht="12.75">
      <c r="A62" s="4"/>
      <c r="B62" s="45">
        <v>6</v>
      </c>
      <c r="C62" s="45">
        <v>1.6</v>
      </c>
      <c r="D62" s="25">
        <f t="shared" si="3"/>
        <v>1.6</v>
      </c>
      <c r="E62" s="10" t="s">
        <v>338</v>
      </c>
      <c r="G62" s="17"/>
      <c r="I62" s="303" t="s">
        <v>784</v>
      </c>
    </row>
    <row r="63" spans="1:9" s="10" customFormat="1" ht="12.75">
      <c r="A63" s="4"/>
      <c r="B63" s="45">
        <v>8</v>
      </c>
      <c r="C63" s="45">
        <v>2.4</v>
      </c>
      <c r="D63" s="25">
        <f t="shared" si="3"/>
        <v>2.4</v>
      </c>
      <c r="E63" s="10" t="s">
        <v>338</v>
      </c>
      <c r="G63" s="17"/>
      <c r="I63" s="303" t="s">
        <v>784</v>
      </c>
    </row>
    <row r="64" spans="1:9" s="10" customFormat="1" ht="12.75">
      <c r="A64" s="4"/>
      <c r="B64" s="45">
        <v>12</v>
      </c>
      <c r="C64" s="45">
        <v>3.1</v>
      </c>
      <c r="D64" s="25">
        <f t="shared" si="3"/>
        <v>3.1</v>
      </c>
      <c r="E64" s="10" t="s">
        <v>338</v>
      </c>
      <c r="G64" s="17"/>
      <c r="I64" s="303" t="s">
        <v>784</v>
      </c>
    </row>
    <row r="65" spans="1:9" s="10" customFormat="1" ht="12.75">
      <c r="A65" s="4"/>
      <c r="B65" s="45">
        <v>13.1</v>
      </c>
      <c r="C65" s="45">
        <v>3.5</v>
      </c>
      <c r="D65" s="25">
        <f t="shared" si="3"/>
        <v>3.5</v>
      </c>
      <c r="E65" s="10" t="s">
        <v>338</v>
      </c>
      <c r="G65" s="17"/>
      <c r="I65" s="303" t="s">
        <v>784</v>
      </c>
    </row>
    <row r="66" spans="1:9" s="10" customFormat="1" ht="12.75">
      <c r="A66" s="4"/>
      <c r="B66" s="45">
        <v>48</v>
      </c>
      <c r="C66" s="45">
        <v>10.9</v>
      </c>
      <c r="D66" s="25">
        <f t="shared" si="3"/>
        <v>10.9</v>
      </c>
      <c r="E66" s="10" t="s">
        <v>338</v>
      </c>
      <c r="G66" s="17"/>
      <c r="I66" s="303" t="s">
        <v>784</v>
      </c>
    </row>
    <row r="67" spans="2:9" s="10" customFormat="1" ht="12.75">
      <c r="B67" s="45">
        <v>80</v>
      </c>
      <c r="C67" s="45">
        <v>17.3</v>
      </c>
      <c r="D67" s="25">
        <f t="shared" si="3"/>
        <v>17.3</v>
      </c>
      <c r="E67" s="10" t="s">
        <v>338</v>
      </c>
      <c r="G67" s="17"/>
      <c r="I67" s="303" t="s">
        <v>784</v>
      </c>
    </row>
    <row r="68" spans="2:9" s="10" customFormat="1" ht="12.75">
      <c r="B68" s="45"/>
      <c r="C68" s="45"/>
      <c r="D68" s="47"/>
      <c r="G68" s="17"/>
      <c r="I68" s="303"/>
    </row>
    <row r="69" spans="1:9" s="10" customFormat="1" ht="12.75">
      <c r="A69" s="4" t="s">
        <v>152</v>
      </c>
      <c r="B69" s="14" t="s">
        <v>139</v>
      </c>
      <c r="C69" s="14" t="s">
        <v>103</v>
      </c>
      <c r="D69"/>
      <c r="G69" s="17"/>
      <c r="I69" s="303" t="s">
        <v>784</v>
      </c>
    </row>
    <row r="70" spans="2:9" s="10" customFormat="1" ht="12.75">
      <c r="B70" s="10" t="s">
        <v>153</v>
      </c>
      <c r="C70" s="30">
        <v>7</v>
      </c>
      <c r="D70" s="30">
        <f>C70</f>
        <v>7</v>
      </c>
      <c r="E70" t="s">
        <v>46</v>
      </c>
      <c r="G70" s="17"/>
      <c r="I70" s="303" t="s">
        <v>784</v>
      </c>
    </row>
    <row r="71" spans="2:9" s="10" customFormat="1" ht="12.75">
      <c r="B71" s="10" t="s">
        <v>154</v>
      </c>
      <c r="C71" s="30">
        <v>10</v>
      </c>
      <c r="D71" s="30">
        <f>C71</f>
        <v>10</v>
      </c>
      <c r="E71" t="s">
        <v>46</v>
      </c>
      <c r="G71" s="17"/>
      <c r="I71" s="303" t="s">
        <v>784</v>
      </c>
    </row>
    <row r="72" spans="2:9" s="10" customFormat="1" ht="12.75">
      <c r="B72" s="10" t="s">
        <v>155</v>
      </c>
      <c r="C72" s="30">
        <v>17</v>
      </c>
      <c r="D72" s="30">
        <f>C72</f>
        <v>17</v>
      </c>
      <c r="E72" t="s">
        <v>46</v>
      </c>
      <c r="G72" s="17"/>
      <c r="I72" s="303" t="s">
        <v>784</v>
      </c>
    </row>
    <row r="73" spans="2:9" s="10" customFormat="1" ht="12.75">
      <c r="B73" s="10" t="s">
        <v>582</v>
      </c>
      <c r="C73" s="30">
        <v>4</v>
      </c>
      <c r="D73" s="30">
        <f>C73</f>
        <v>4</v>
      </c>
      <c r="E73" t="s">
        <v>46</v>
      </c>
      <c r="G73" s="17"/>
      <c r="I73" s="303" t="s">
        <v>784</v>
      </c>
    </row>
    <row r="74" spans="2:9" s="10" customFormat="1" ht="12.75">
      <c r="B74" s="10" t="s">
        <v>583</v>
      </c>
      <c r="C74" s="30">
        <v>8</v>
      </c>
      <c r="D74" s="30">
        <f>C74</f>
        <v>8</v>
      </c>
      <c r="E74" t="s">
        <v>46</v>
      </c>
      <c r="G74" s="17"/>
      <c r="I74" s="303" t="s">
        <v>784</v>
      </c>
    </row>
    <row r="75" spans="2:9" s="10" customFormat="1" ht="12.75">
      <c r="B75" s="10" t="s">
        <v>584</v>
      </c>
      <c r="C75" s="30">
        <v>12</v>
      </c>
      <c r="D75" s="10">
        <v>13</v>
      </c>
      <c r="E75" t="s">
        <v>46</v>
      </c>
      <c r="G75" s="17"/>
      <c r="I75" s="303" t="s">
        <v>784</v>
      </c>
    </row>
    <row r="76" spans="3:9" s="10" customFormat="1" ht="12.75">
      <c r="C76" s="30"/>
      <c r="G76" s="17"/>
      <c r="I76" s="303"/>
    </row>
    <row r="77" spans="2:9" s="10" customFormat="1" ht="12.75">
      <c r="B77" s="10" t="s">
        <v>645</v>
      </c>
      <c r="C77" s="30">
        <v>3.5</v>
      </c>
      <c r="D77" s="30">
        <f>C77</f>
        <v>3.5</v>
      </c>
      <c r="E77" s="10" t="s">
        <v>46</v>
      </c>
      <c r="F77" s="32"/>
      <c r="G77" s="17"/>
      <c r="I77" s="303" t="s">
        <v>784</v>
      </c>
    </row>
    <row r="78" spans="2:9" s="10" customFormat="1" ht="12.75">
      <c r="B78" s="10" t="s">
        <v>646</v>
      </c>
      <c r="C78" s="30">
        <f>C77*2</f>
        <v>7</v>
      </c>
      <c r="D78" s="30">
        <f>C78</f>
        <v>7</v>
      </c>
      <c r="E78" s="10" t="s">
        <v>46</v>
      </c>
      <c r="F78" s="32"/>
      <c r="G78" s="17"/>
      <c r="I78" s="303" t="s">
        <v>784</v>
      </c>
    </row>
    <row r="79" spans="2:9" s="10" customFormat="1" ht="12.75">
      <c r="B79" s="10" t="s">
        <v>647</v>
      </c>
      <c r="C79" s="30">
        <f>C77*3</f>
        <v>10.5</v>
      </c>
      <c r="D79" s="30">
        <f>C79</f>
        <v>10.5</v>
      </c>
      <c r="E79" s="10" t="s">
        <v>46</v>
      </c>
      <c r="G79" s="17"/>
      <c r="I79" s="303" t="s">
        <v>784</v>
      </c>
    </row>
    <row r="80" ht="12.75"/>
    <row r="81" spans="1:3" ht="12.75">
      <c r="A81" s="4" t="s">
        <v>138</v>
      </c>
      <c r="B81" s="14" t="s">
        <v>156</v>
      </c>
      <c r="C81" s="14" t="s">
        <v>103</v>
      </c>
    </row>
    <row r="82" spans="2:9" ht="12.75">
      <c r="B82" t="s">
        <v>157</v>
      </c>
      <c r="C82">
        <v>0.5</v>
      </c>
      <c r="D82">
        <v>0.75</v>
      </c>
      <c r="E82" t="s">
        <v>158</v>
      </c>
      <c r="I82" s="303" t="s">
        <v>815</v>
      </c>
    </row>
    <row r="83" spans="2:9" ht="12.75">
      <c r="B83" s="12" t="s">
        <v>159</v>
      </c>
      <c r="C83" s="12">
        <v>0.05</v>
      </c>
      <c r="D83" s="12">
        <v>0.1</v>
      </c>
      <c r="E83" s="12" t="s">
        <v>158</v>
      </c>
      <c r="I83" s="303" t="s">
        <v>815</v>
      </c>
    </row>
    <row r="84" spans="2:9" ht="13.5" customHeight="1">
      <c r="B84" s="10" t="s">
        <v>160</v>
      </c>
      <c r="C84" s="10">
        <v>0.088</v>
      </c>
      <c r="D84" s="10">
        <v>0.12</v>
      </c>
      <c r="E84" s="10" t="s">
        <v>158</v>
      </c>
      <c r="F84" s="31"/>
      <c r="I84" s="303" t="s">
        <v>785</v>
      </c>
    </row>
    <row r="85" spans="2:9" ht="12.75">
      <c r="B85" t="s">
        <v>161</v>
      </c>
      <c r="C85">
        <v>1</v>
      </c>
      <c r="D85">
        <v>10</v>
      </c>
      <c r="E85" t="s">
        <v>158</v>
      </c>
      <c r="I85" s="303" t="s">
        <v>785</v>
      </c>
    </row>
    <row r="86" spans="2:9" ht="12.75">
      <c r="B86" t="s">
        <v>162</v>
      </c>
      <c r="C86">
        <v>0.8</v>
      </c>
      <c r="D86">
        <f>C86</f>
        <v>0.8</v>
      </c>
      <c r="E86" t="s">
        <v>46</v>
      </c>
      <c r="I86" s="302" t="s">
        <v>784</v>
      </c>
    </row>
    <row r="87" spans="2:9" ht="12.75">
      <c r="B87" t="s">
        <v>163</v>
      </c>
      <c r="C87">
        <v>1.5</v>
      </c>
      <c r="D87">
        <f>C87</f>
        <v>1.5</v>
      </c>
      <c r="E87" t="s">
        <v>46</v>
      </c>
      <c r="I87" s="302" t="s">
        <v>784</v>
      </c>
    </row>
    <row r="88" spans="2:9" ht="12.75">
      <c r="B88" t="s">
        <v>164</v>
      </c>
      <c r="C88">
        <v>2.2</v>
      </c>
      <c r="D88">
        <f>C88</f>
        <v>2.2</v>
      </c>
      <c r="E88" t="s">
        <v>46</v>
      </c>
      <c r="I88" s="302" t="s">
        <v>784</v>
      </c>
    </row>
    <row r="89" spans="2:9" ht="12.75">
      <c r="B89" t="s">
        <v>165</v>
      </c>
      <c r="C89">
        <v>5.5</v>
      </c>
      <c r="D89">
        <f>C89</f>
        <v>5.5</v>
      </c>
      <c r="E89" t="s">
        <v>46</v>
      </c>
      <c r="I89" s="302" t="s">
        <v>784</v>
      </c>
    </row>
    <row r="90" ht="12.75"/>
    <row r="91" spans="2:9" ht="12.75">
      <c r="B91" t="s">
        <v>166</v>
      </c>
      <c r="C91">
        <v>0.5</v>
      </c>
      <c r="D91">
        <f>C91</f>
        <v>0.5</v>
      </c>
      <c r="E91" t="s">
        <v>158</v>
      </c>
      <c r="I91" s="302" t="s">
        <v>785</v>
      </c>
    </row>
    <row r="92" spans="2:9" ht="12.75">
      <c r="B92" t="s">
        <v>167</v>
      </c>
      <c r="C92">
        <v>0.5</v>
      </c>
      <c r="D92">
        <v>5</v>
      </c>
      <c r="E92" t="s">
        <v>158</v>
      </c>
      <c r="I92" s="302" t="s">
        <v>785</v>
      </c>
    </row>
    <row r="93" spans="2:9" ht="12.75">
      <c r="B93" t="s">
        <v>168</v>
      </c>
      <c r="C93">
        <v>8</v>
      </c>
      <c r="D93">
        <v>10</v>
      </c>
      <c r="E93" t="s">
        <v>169</v>
      </c>
      <c r="I93" s="302" t="s">
        <v>785</v>
      </c>
    </row>
    <row r="94" spans="2:9" ht="12.75">
      <c r="B94" t="s">
        <v>170</v>
      </c>
      <c r="C94">
        <v>0.25</v>
      </c>
      <c r="D94">
        <f>C94</f>
        <v>0.25</v>
      </c>
      <c r="E94" t="s">
        <v>158</v>
      </c>
      <c r="I94" s="302" t="s">
        <v>785</v>
      </c>
    </row>
    <row r="95" ht="12.75"/>
    <row r="96" spans="1:3" ht="12.75">
      <c r="A96" s="4" t="s">
        <v>138</v>
      </c>
      <c r="B96" s="14" t="s">
        <v>171</v>
      </c>
      <c r="C96" s="14" t="s">
        <v>103</v>
      </c>
    </row>
    <row r="97" spans="2:9" ht="12.75">
      <c r="B97" t="s">
        <v>172</v>
      </c>
      <c r="C97">
        <v>1.138806</v>
      </c>
      <c r="D97">
        <f>C97</f>
        <v>1.138806</v>
      </c>
      <c r="E97" s="12" t="s">
        <v>173</v>
      </c>
      <c r="I97" s="302" t="s">
        <v>791</v>
      </c>
    </row>
    <row r="98" spans="2:9" ht="12.75">
      <c r="B98" t="s">
        <v>174</v>
      </c>
      <c r="C98">
        <v>1.346201</v>
      </c>
      <c r="D98">
        <f>C98</f>
        <v>1.346201</v>
      </c>
      <c r="E98" s="12" t="s">
        <v>175</v>
      </c>
      <c r="I98" s="302" t="s">
        <v>791</v>
      </c>
    </row>
    <row r="99" spans="2:9" ht="12.75">
      <c r="B99" t="s">
        <v>176</v>
      </c>
      <c r="C99">
        <v>0.764726</v>
      </c>
      <c r="D99">
        <f>C99</f>
        <v>0.764726</v>
      </c>
      <c r="E99" s="12" t="s">
        <v>177</v>
      </c>
      <c r="I99" s="302" t="s">
        <v>791</v>
      </c>
    </row>
    <row r="100" spans="2:9" ht="12.75">
      <c r="B100" t="s">
        <v>178</v>
      </c>
      <c r="C100">
        <v>0.114417</v>
      </c>
      <c r="D100">
        <f>C100</f>
        <v>0.114417</v>
      </c>
      <c r="E100" s="12" t="s">
        <v>179</v>
      </c>
      <c r="I100" s="302" t="s">
        <v>791</v>
      </c>
    </row>
    <row r="101" spans="2:9" ht="12.75">
      <c r="B101" t="s">
        <v>180</v>
      </c>
      <c r="C101">
        <v>0.456214</v>
      </c>
      <c r="D101">
        <f>C101</f>
        <v>0.456214</v>
      </c>
      <c r="E101" s="12" t="s">
        <v>181</v>
      </c>
      <c r="I101" s="302" t="s">
        <v>791</v>
      </c>
    </row>
    <row r="102" spans="2:6" ht="12.75">
      <c r="B102" s="165" t="s">
        <v>182</v>
      </c>
      <c r="C102" s="165"/>
      <c r="D102" s="165"/>
      <c r="E102" s="166"/>
      <c r="F102" s="294" t="s">
        <v>728</v>
      </c>
    </row>
    <row r="103" spans="2:6" ht="12.75">
      <c r="B103" s="165" t="s">
        <v>183</v>
      </c>
      <c r="C103" s="165"/>
      <c r="D103" s="165"/>
      <c r="E103" s="166"/>
      <c r="F103" s="294" t="s">
        <v>728</v>
      </c>
    </row>
    <row r="104" spans="2:9" ht="12.75">
      <c r="B104" t="s">
        <v>184</v>
      </c>
      <c r="C104">
        <f>0.716675</f>
        <v>0.716675</v>
      </c>
      <c r="D104">
        <f>C104</f>
        <v>0.716675</v>
      </c>
      <c r="E104" s="12" t="s">
        <v>185</v>
      </c>
      <c r="I104" s="302" t="s">
        <v>791</v>
      </c>
    </row>
    <row r="105" spans="2:9" ht="12.75">
      <c r="B105" t="s">
        <v>186</v>
      </c>
      <c r="C105">
        <v>2.981988</v>
      </c>
      <c r="D105">
        <f>C105</f>
        <v>2.981988</v>
      </c>
      <c r="E105" t="s">
        <v>187</v>
      </c>
      <c r="I105" s="302" t="s">
        <v>791</v>
      </c>
    </row>
    <row r="106" ht="12.75"/>
    <row r="107" ht="12.75"/>
    <row r="108" spans="1:3" ht="12.75">
      <c r="A108" s="4" t="s">
        <v>188</v>
      </c>
      <c r="B108" s="14" t="s">
        <v>189</v>
      </c>
      <c r="C108" s="14" t="s">
        <v>103</v>
      </c>
    </row>
    <row r="109" spans="2:9" ht="38.25">
      <c r="B109" t="s">
        <v>802</v>
      </c>
      <c r="C109" s="12">
        <v>300</v>
      </c>
      <c r="D109" s="12">
        <f>C109</f>
        <v>300</v>
      </c>
      <c r="E109" t="s">
        <v>190</v>
      </c>
      <c r="F109" s="26" t="s">
        <v>191</v>
      </c>
      <c r="I109" s="302" t="s">
        <v>788</v>
      </c>
    </row>
    <row r="110" spans="2:9" ht="12.75">
      <c r="B110" t="s">
        <v>803</v>
      </c>
      <c r="C110" s="12">
        <v>290</v>
      </c>
      <c r="D110" s="12">
        <f>C110</f>
        <v>290</v>
      </c>
      <c r="E110" s="12" t="s">
        <v>190</v>
      </c>
      <c r="F110" t="s">
        <v>192</v>
      </c>
      <c r="I110" s="302" t="s">
        <v>788</v>
      </c>
    </row>
    <row r="111" spans="2:9" ht="12.75">
      <c r="B111" t="s">
        <v>648</v>
      </c>
      <c r="C111">
        <v>230</v>
      </c>
      <c r="D111">
        <f>C111</f>
        <v>230</v>
      </c>
      <c r="E111" s="12" t="s">
        <v>190</v>
      </c>
      <c r="F111" s="8" t="s">
        <v>667</v>
      </c>
      <c r="I111" s="302" t="s">
        <v>788</v>
      </c>
    </row>
    <row r="112" spans="2:5" ht="12.75">
      <c r="B112" s="10"/>
      <c r="C112" s="10"/>
      <c r="D112" s="10"/>
      <c r="E112" s="10"/>
    </row>
    <row r="113" ht="12.75"/>
    <row r="114" ht="12.75"/>
    <row r="115" spans="1:3" ht="12.75">
      <c r="A115" s="4" t="s">
        <v>193</v>
      </c>
      <c r="B115" s="14" t="s">
        <v>194</v>
      </c>
      <c r="C115" s="14" t="s">
        <v>103</v>
      </c>
    </row>
    <row r="116" spans="2:9" ht="12.75">
      <c r="B116" t="s">
        <v>195</v>
      </c>
      <c r="C116">
        <v>0.5</v>
      </c>
      <c r="D116">
        <f>C116</f>
        <v>0.5</v>
      </c>
      <c r="E116" t="s">
        <v>196</v>
      </c>
      <c r="I116" s="302" t="s">
        <v>785</v>
      </c>
    </row>
    <row r="117" spans="2:9" ht="12.75">
      <c r="B117" s="306" t="s">
        <v>796</v>
      </c>
      <c r="C117" s="306">
        <v>11</v>
      </c>
      <c r="D117" s="306">
        <f>C117</f>
        <v>11</v>
      </c>
      <c r="E117" s="306" t="s">
        <v>729</v>
      </c>
      <c r="F117" s="134"/>
      <c r="I117" s="303" t="s">
        <v>793</v>
      </c>
    </row>
    <row r="118" spans="2:9" ht="12.75">
      <c r="B118" s="10" t="s">
        <v>797</v>
      </c>
      <c r="C118" s="10">
        <f>C119</f>
        <v>0.05</v>
      </c>
      <c r="D118" s="10">
        <f>C118</f>
        <v>0.05</v>
      </c>
      <c r="E118" s="10" t="s">
        <v>729</v>
      </c>
      <c r="F118" s="134"/>
      <c r="I118" s="303"/>
    </row>
    <row r="119" spans="2:9" ht="12.75">
      <c r="B119" s="10" t="s">
        <v>197</v>
      </c>
      <c r="C119" s="10">
        <v>0.05</v>
      </c>
      <c r="D119" s="10">
        <f>C119</f>
        <v>0.05</v>
      </c>
      <c r="E119" s="10" t="s">
        <v>729</v>
      </c>
      <c r="F119" s="48" t="s">
        <v>730</v>
      </c>
      <c r="I119" s="303" t="s">
        <v>793</v>
      </c>
    </row>
    <row r="120" spans="2:9" ht="12.75">
      <c r="B120" s="12" t="s">
        <v>693</v>
      </c>
      <c r="C120">
        <v>1</v>
      </c>
      <c r="D120">
        <v>2</v>
      </c>
      <c r="E120" t="s">
        <v>196</v>
      </c>
      <c r="I120" s="302" t="s">
        <v>785</v>
      </c>
    </row>
    <row r="121" spans="2:9" ht="12.75">
      <c r="B121" t="s">
        <v>198</v>
      </c>
      <c r="C121">
        <v>3</v>
      </c>
      <c r="D121">
        <v>5</v>
      </c>
      <c r="E121" t="s">
        <v>196</v>
      </c>
      <c r="I121" s="302" t="s">
        <v>785</v>
      </c>
    </row>
    <row r="122" ht="12.75"/>
    <row r="123" ht="12.75"/>
    <row r="124" ht="12.75"/>
    <row r="125" ht="12.75"/>
    <row r="126" spans="1:3" ht="12.75">
      <c r="A126" s="4" t="s">
        <v>199</v>
      </c>
      <c r="B126" s="14" t="s">
        <v>484</v>
      </c>
      <c r="C126" s="14" t="s">
        <v>103</v>
      </c>
    </row>
    <row r="127" spans="1:6" ht="12.75">
      <c r="A127" s="4"/>
      <c r="B127" s="48" t="s">
        <v>476</v>
      </c>
      <c r="C127" s="163">
        <v>0.2</v>
      </c>
      <c r="D127" s="163">
        <f>C127</f>
        <v>0.2</v>
      </c>
      <c r="E127" t="s">
        <v>483</v>
      </c>
      <c r="F127" s="8" t="s">
        <v>789</v>
      </c>
    </row>
    <row r="128" spans="1:6" ht="12.75">
      <c r="A128" s="4"/>
      <c r="B128" s="48" t="s">
        <v>475</v>
      </c>
      <c r="C128" s="163">
        <v>0.2</v>
      </c>
      <c r="D128" s="163">
        <f>C128</f>
        <v>0.2</v>
      </c>
      <c r="E128" t="s">
        <v>483</v>
      </c>
      <c r="F128" s="8" t="s">
        <v>789</v>
      </c>
    </row>
    <row r="129" spans="1:6" ht="12.75">
      <c r="A129" s="4"/>
      <c r="B129" s="48" t="s">
        <v>474</v>
      </c>
      <c r="C129" s="163">
        <v>0.2</v>
      </c>
      <c r="D129" s="163">
        <f>C129</f>
        <v>0.2</v>
      </c>
      <c r="E129" t="s">
        <v>483</v>
      </c>
      <c r="F129" s="8" t="s">
        <v>789</v>
      </c>
    </row>
    <row r="130" spans="2:9" ht="12.75">
      <c r="B130" t="s">
        <v>200</v>
      </c>
      <c r="C130">
        <f>20/100</f>
        <v>0.2</v>
      </c>
      <c r="D130">
        <f>C130</f>
        <v>0.2</v>
      </c>
      <c r="E130" t="s">
        <v>483</v>
      </c>
      <c r="F130" t="s">
        <v>482</v>
      </c>
      <c r="I130" s="302" t="s">
        <v>794</v>
      </c>
    </row>
    <row r="131" spans="2:6" ht="12.75">
      <c r="B131" t="s">
        <v>506</v>
      </c>
      <c r="C131">
        <f>0.2</f>
        <v>0.2</v>
      </c>
      <c r="D131">
        <f>C131</f>
        <v>0.2</v>
      </c>
      <c r="E131" t="s">
        <v>483</v>
      </c>
      <c r="F131" s="8" t="s">
        <v>789</v>
      </c>
    </row>
    <row r="132" ht="12.75"/>
    <row r="133" spans="2:3" ht="12.75">
      <c r="B133" s="14" t="s">
        <v>485</v>
      </c>
      <c r="C133" s="14" t="s">
        <v>103</v>
      </c>
    </row>
    <row r="134" spans="2:6" ht="12.75">
      <c r="B134" t="s">
        <v>506</v>
      </c>
      <c r="C134">
        <v>0.1</v>
      </c>
      <c r="D134">
        <f>C134</f>
        <v>0.1</v>
      </c>
      <c r="E134" t="s">
        <v>726</v>
      </c>
      <c r="F134" s="8" t="s">
        <v>789</v>
      </c>
    </row>
    <row r="135" ht="12.75"/>
    <row r="136" spans="2:9" ht="12.75">
      <c r="B136" s="14" t="s">
        <v>201</v>
      </c>
      <c r="C136" s="14" t="s">
        <v>103</v>
      </c>
      <c r="I136" s="302" t="s">
        <v>791</v>
      </c>
    </row>
    <row r="137" spans="2:9" ht="12.75">
      <c r="B137" t="s">
        <v>202</v>
      </c>
      <c r="C137" s="10">
        <v>2.71844</v>
      </c>
      <c r="D137" s="10">
        <f>C137</f>
        <v>2.71844</v>
      </c>
      <c r="E137" s="10" t="s">
        <v>203</v>
      </c>
      <c r="I137" s="302" t="s">
        <v>791</v>
      </c>
    </row>
    <row r="138" spans="2:9" ht="12.75">
      <c r="B138" t="s">
        <v>204</v>
      </c>
      <c r="C138" s="10">
        <v>2.087787</v>
      </c>
      <c r="D138" s="10">
        <f>C138</f>
        <v>2.087787</v>
      </c>
      <c r="E138" s="10" t="s">
        <v>205</v>
      </c>
      <c r="I138" s="302" t="s">
        <v>791</v>
      </c>
    </row>
    <row r="139" spans="2:9" ht="12.75">
      <c r="B139" t="s">
        <v>277</v>
      </c>
      <c r="C139" s="10">
        <v>2.053742</v>
      </c>
      <c r="D139" s="10">
        <f>C139</f>
        <v>2.053742</v>
      </c>
      <c r="E139" s="10" t="s">
        <v>486</v>
      </c>
      <c r="I139" s="302" t="s">
        <v>791</v>
      </c>
    </row>
    <row r="140" spans="1:9" ht="12.75">
      <c r="A140" s="10"/>
      <c r="B140" s="10" t="s">
        <v>206</v>
      </c>
      <c r="C140" s="10">
        <v>2.865012</v>
      </c>
      <c r="D140" s="10">
        <f>C140</f>
        <v>2.865012</v>
      </c>
      <c r="E140" s="10" t="s">
        <v>207</v>
      </c>
      <c r="F140" s="25" t="s">
        <v>208</v>
      </c>
      <c r="I140" s="302" t="s">
        <v>791</v>
      </c>
    </row>
    <row r="141" ht="12.75"/>
    <row r="142" spans="2:9" ht="12.75">
      <c r="B142" t="s">
        <v>467</v>
      </c>
      <c r="C142">
        <v>2</v>
      </c>
      <c r="D142">
        <f>C142</f>
        <v>2</v>
      </c>
      <c r="E142" t="s">
        <v>209</v>
      </c>
      <c r="I142" s="302" t="s">
        <v>784</v>
      </c>
    </row>
    <row r="143" spans="2:9" ht="12.75">
      <c r="B143" t="s">
        <v>468</v>
      </c>
      <c r="C143">
        <v>3</v>
      </c>
      <c r="D143">
        <f>C143</f>
        <v>3</v>
      </c>
      <c r="E143" t="s">
        <v>209</v>
      </c>
      <c r="I143" s="302" t="s">
        <v>784</v>
      </c>
    </row>
    <row r="144" spans="2:9" ht="12.75">
      <c r="B144" t="s">
        <v>469</v>
      </c>
      <c r="C144">
        <v>5</v>
      </c>
      <c r="D144">
        <f>C144</f>
        <v>5</v>
      </c>
      <c r="E144" t="s">
        <v>209</v>
      </c>
      <c r="I144" s="302" t="s">
        <v>784</v>
      </c>
    </row>
    <row r="145" spans="2:9" ht="12.75">
      <c r="B145" t="s">
        <v>470</v>
      </c>
      <c r="C145">
        <v>6</v>
      </c>
      <c r="D145">
        <f>C145</f>
        <v>6</v>
      </c>
      <c r="E145" t="s">
        <v>209</v>
      </c>
      <c r="I145" s="302" t="s">
        <v>784</v>
      </c>
    </row>
    <row r="146" spans="2:5" ht="12.75">
      <c r="B146" t="s">
        <v>471</v>
      </c>
      <c r="C146" s="10">
        <v>7</v>
      </c>
      <c r="D146" s="10">
        <f>C146</f>
        <v>7</v>
      </c>
      <c r="E146" t="s">
        <v>209</v>
      </c>
    </row>
    <row r="147" ht="12.75"/>
    <row r="148" spans="1:9" ht="12.75">
      <c r="A148" s="4" t="s">
        <v>210</v>
      </c>
      <c r="B148" s="14" t="s">
        <v>211</v>
      </c>
      <c r="C148" s="14" t="s">
        <v>103</v>
      </c>
      <c r="I148" s="302" t="s">
        <v>791</v>
      </c>
    </row>
    <row r="149" spans="2:9" ht="12.75">
      <c r="B149" t="s">
        <v>212</v>
      </c>
      <c r="C149">
        <f>2.696743/(115/14)</f>
        <v>0.328299147826087</v>
      </c>
      <c r="D149">
        <f aca="true" t="shared" si="4" ref="D149:D154">C149</f>
        <v>0.328299147826087</v>
      </c>
      <c r="E149" t="s">
        <v>213</v>
      </c>
      <c r="I149" s="302" t="s">
        <v>791</v>
      </c>
    </row>
    <row r="150" spans="2:9" ht="12.75">
      <c r="B150" t="s">
        <v>214</v>
      </c>
      <c r="C150">
        <v>5.731217</v>
      </c>
      <c r="D150">
        <f t="shared" si="4"/>
        <v>5.731217</v>
      </c>
      <c r="E150" t="s">
        <v>215</v>
      </c>
      <c r="I150" s="302" t="s">
        <v>791</v>
      </c>
    </row>
    <row r="151" spans="2:9" ht="12.75">
      <c r="B151" t="s">
        <v>216</v>
      </c>
      <c r="C151">
        <v>5.673339</v>
      </c>
      <c r="D151">
        <f t="shared" si="4"/>
        <v>5.673339</v>
      </c>
      <c r="E151" t="s">
        <v>217</v>
      </c>
      <c r="I151" s="302" t="s">
        <v>791</v>
      </c>
    </row>
    <row r="152" spans="2:9" ht="12.75">
      <c r="B152" t="s">
        <v>218</v>
      </c>
      <c r="C152">
        <v>0.37733</v>
      </c>
      <c r="D152">
        <f t="shared" si="4"/>
        <v>0.37733</v>
      </c>
      <c r="E152" t="s">
        <v>96</v>
      </c>
      <c r="I152" s="302" t="s">
        <v>791</v>
      </c>
    </row>
    <row r="153" spans="2:9" ht="12.75">
      <c r="B153" t="s">
        <v>219</v>
      </c>
      <c r="C153">
        <v>0.328334</v>
      </c>
      <c r="D153">
        <f t="shared" si="4"/>
        <v>0.328334</v>
      </c>
      <c r="E153" t="s">
        <v>220</v>
      </c>
      <c r="I153" s="302" t="s">
        <v>791</v>
      </c>
    </row>
    <row r="154" spans="2:9" ht="12.75">
      <c r="B154" t="s">
        <v>221</v>
      </c>
      <c r="C154">
        <v>1.414305</v>
      </c>
      <c r="D154">
        <f t="shared" si="4"/>
        <v>1.414305</v>
      </c>
      <c r="E154" t="s">
        <v>98</v>
      </c>
      <c r="I154" s="302" t="s">
        <v>791</v>
      </c>
    </row>
    <row r="155" ht="12.75"/>
    <row r="156" ht="12.75"/>
    <row r="157" spans="1:9" ht="12.75">
      <c r="A157" s="2" t="s">
        <v>222</v>
      </c>
      <c r="B157" t="s">
        <v>79</v>
      </c>
      <c r="C157">
        <v>1.023652</v>
      </c>
      <c r="D157">
        <f>C157</f>
        <v>1.023652</v>
      </c>
      <c r="E157" t="s">
        <v>223</v>
      </c>
      <c r="I157" s="302" t="s">
        <v>791</v>
      </c>
    </row>
    <row r="158" spans="1:6" ht="12.75">
      <c r="A158" s="48"/>
      <c r="B158" s="10" t="s">
        <v>91</v>
      </c>
      <c r="C158" s="164">
        <f>C157</f>
        <v>1.023652</v>
      </c>
      <c r="D158" s="10">
        <f>C158</f>
        <v>1.023652</v>
      </c>
      <c r="E158" s="10" t="s">
        <v>634</v>
      </c>
      <c r="F158" s="8" t="s">
        <v>789</v>
      </c>
    </row>
    <row r="159" spans="1:6" ht="12.75">
      <c r="A159" s="48"/>
      <c r="B159" s="10" t="s">
        <v>87</v>
      </c>
      <c r="C159" s="10">
        <f>C157*0.8</f>
        <v>0.8189216</v>
      </c>
      <c r="D159" s="10">
        <f>C159</f>
        <v>0.8189216</v>
      </c>
      <c r="E159" s="10" t="s">
        <v>689</v>
      </c>
      <c r="F159" s="8" t="s">
        <v>789</v>
      </c>
    </row>
    <row r="160" spans="1:6" ht="12.75">
      <c r="A160" s="48"/>
      <c r="F160" s="134"/>
    </row>
    <row r="161" spans="1:9" ht="12.75">
      <c r="A161" s="2" t="s">
        <v>224</v>
      </c>
      <c r="B161" t="s">
        <v>225</v>
      </c>
      <c r="C161">
        <v>1</v>
      </c>
      <c r="D161">
        <v>3</v>
      </c>
      <c r="E161" s="48" t="s">
        <v>46</v>
      </c>
      <c r="I161" s="302" t="s">
        <v>784</v>
      </c>
    </row>
    <row r="162" spans="1:9" ht="12.75">
      <c r="A162" s="48"/>
      <c r="B162" t="s">
        <v>226</v>
      </c>
      <c r="C162">
        <v>1</v>
      </c>
      <c r="D162">
        <v>3</v>
      </c>
      <c r="E162" s="48" t="s">
        <v>46</v>
      </c>
      <c r="I162" s="302" t="s">
        <v>784</v>
      </c>
    </row>
    <row r="163" ht="12.75">
      <c r="A163" s="48"/>
    </row>
    <row r="164" ht="12.75">
      <c r="A164" s="48"/>
    </row>
    <row r="165" spans="1:9" ht="12.75">
      <c r="A165" s="2" t="s">
        <v>731</v>
      </c>
      <c r="B165" t="s">
        <v>733</v>
      </c>
      <c r="C165">
        <v>0.37</v>
      </c>
      <c r="D165">
        <f>C165</f>
        <v>0.37</v>
      </c>
      <c r="E165" t="s">
        <v>736</v>
      </c>
      <c r="F165" t="s">
        <v>737</v>
      </c>
      <c r="I165" s="302" t="s">
        <v>784</v>
      </c>
    </row>
    <row r="166" spans="1:9" ht="12.75">
      <c r="A166" s="2" t="s">
        <v>732</v>
      </c>
      <c r="B166" t="s">
        <v>734</v>
      </c>
      <c r="C166" s="15">
        <f>88/133</f>
        <v>0.6616541353383458</v>
      </c>
      <c r="D166" s="15">
        <f>C166</f>
        <v>0.6616541353383458</v>
      </c>
      <c r="E166" t="s">
        <v>736</v>
      </c>
      <c r="F166" t="s">
        <v>735</v>
      </c>
      <c r="I166" s="302" t="s">
        <v>784</v>
      </c>
    </row>
    <row r="167" ht="12.75">
      <c r="A167" s="48"/>
    </row>
    <row r="168" ht="12.75">
      <c r="A168" s="48"/>
    </row>
    <row r="169" spans="1:5" ht="12.75">
      <c r="A169" s="2" t="s">
        <v>731</v>
      </c>
      <c r="B169" t="s">
        <v>739</v>
      </c>
      <c r="C169">
        <v>3.67</v>
      </c>
      <c r="D169">
        <f>C169</f>
        <v>3.67</v>
      </c>
      <c r="E169" t="s">
        <v>69</v>
      </c>
    </row>
    <row r="170" ht="12.75">
      <c r="A170" s="2" t="s">
        <v>738</v>
      </c>
    </row>
    <row r="171" spans="2:8" ht="12.75">
      <c r="B171" t="s">
        <v>740</v>
      </c>
      <c r="C171" s="169">
        <f>((G173*G174*('Datablad 1'!B2+'Datablad 1'!B11)*1.5)/G172)*G171</f>
        <v>0.010974949999999997</v>
      </c>
      <c r="D171" s="169">
        <f>C171</f>
        <v>0.010974949999999997</v>
      </c>
      <c r="E171" s="12" t="s">
        <v>746</v>
      </c>
      <c r="F171" s="5" t="s">
        <v>742</v>
      </c>
      <c r="G171" s="2">
        <v>1.4</v>
      </c>
      <c r="H171" s="5" t="s">
        <v>743</v>
      </c>
    </row>
    <row r="172" spans="6:8" ht="12.75">
      <c r="F172" s="5"/>
      <c r="G172" s="2">
        <v>10000</v>
      </c>
      <c r="H172" s="5" t="s">
        <v>741</v>
      </c>
    </row>
    <row r="173" spans="6:8" ht="12.75">
      <c r="F173" s="5"/>
      <c r="G173" s="2">
        <v>50</v>
      </c>
      <c r="H173" s="5" t="s">
        <v>254</v>
      </c>
    </row>
    <row r="174" spans="6:8" ht="12.75">
      <c r="F174" s="5"/>
      <c r="G174" s="2">
        <f>1/3</f>
        <v>0.3333333333333333</v>
      </c>
      <c r="H174" s="5" t="s">
        <v>307</v>
      </c>
    </row>
    <row r="176" spans="2:8" ht="12.75">
      <c r="B176" t="s">
        <v>744</v>
      </c>
      <c r="C176">
        <f>G176</f>
        <v>2.277612</v>
      </c>
      <c r="D176">
        <f>C176</f>
        <v>2.277612</v>
      </c>
      <c r="E176" t="s">
        <v>750</v>
      </c>
      <c r="F176" s="5" t="s">
        <v>747</v>
      </c>
      <c r="G176" s="2">
        <f>2*C97</f>
        <v>2.277612</v>
      </c>
      <c r="H176" s="5" t="s">
        <v>748</v>
      </c>
    </row>
    <row r="177" spans="2:6" ht="12.75">
      <c r="B177" t="s">
        <v>745</v>
      </c>
      <c r="F177" t="s">
        <v>749</v>
      </c>
    </row>
  </sheetData>
  <sheetProtection/>
  <printOptions/>
  <pageMargins left="0.7874015748031497" right="0.7874015748031497" top="0.984251968503937" bottom="0.984251968503937" header="0.5118110236220472" footer="0.5118110236220472"/>
  <pageSetup horizontalDpi="600" verticalDpi="600" orientation="landscape" paperSize="9" scale="79" r:id="rId3"/>
  <headerFooter alignWithMargins="0">
    <oddFooter>&amp;L&amp;6&amp;A&amp;C&amp;6Adfrukdatum: &amp;D&amp;R&amp;6&amp;P van &amp;N</oddFooter>
  </headerFooter>
  <rowBreaks count="2" manualBreakCount="2">
    <brk id="106" max="5" man="1"/>
    <brk id="155" max="5" man="1"/>
  </rowBreaks>
  <ignoredErrors>
    <ignoredError sqref="D51:D54" formula="1"/>
  </ignoredErrors>
  <legacyDrawing r:id="rId2"/>
</worksheet>
</file>

<file path=xl/worksheets/sheet7.xml><?xml version="1.0" encoding="utf-8"?>
<worksheet xmlns="http://schemas.openxmlformats.org/spreadsheetml/2006/main" xmlns:r="http://schemas.openxmlformats.org/officeDocument/2006/relationships">
  <sheetPr codeName="Blad2"/>
  <dimension ref="A1:BA307"/>
  <sheetViews>
    <sheetView zoomScale="85" zoomScaleNormal="85" zoomScalePageLayoutView="0" workbookViewId="0" topLeftCell="A189">
      <pane xSplit="6" topLeftCell="G1" activePane="topRight" state="frozen"/>
      <selection pane="topLeft" activeCell="A1" sqref="A1"/>
      <selection pane="topRight" activeCell="C219" sqref="C219"/>
    </sheetView>
  </sheetViews>
  <sheetFormatPr defaultColWidth="9.140625" defaultRowHeight="12.75"/>
  <cols>
    <col min="1" max="1" width="15.421875" style="6" bestFit="1" customWidth="1"/>
    <col min="2" max="2" width="32.28125" style="6" bestFit="1" customWidth="1"/>
    <col min="3" max="3" width="13.00390625" style="273" customWidth="1"/>
    <col min="4" max="4" width="11.7109375" style="273" bestFit="1" customWidth="1"/>
    <col min="5" max="5" width="7.7109375" style="6" bestFit="1" customWidth="1"/>
    <col min="6" max="6" width="1.7109375" style="42" customWidth="1"/>
    <col min="7" max="7" width="16.140625" style="6" bestFit="1" customWidth="1"/>
    <col min="8" max="8" width="14.421875" style="35" customWidth="1"/>
    <col min="9" max="9" width="15.421875" style="6" bestFit="1" customWidth="1"/>
    <col min="10" max="10" width="12.140625" style="35" bestFit="1" customWidth="1"/>
    <col min="11" max="11" width="16.00390625" style="6" bestFit="1" customWidth="1"/>
    <col min="12" max="12" width="14.57421875" style="35" bestFit="1" customWidth="1"/>
    <col min="13" max="13" width="16.140625" style="6" bestFit="1" customWidth="1"/>
    <col min="14" max="14" width="18.7109375" style="35" bestFit="1" customWidth="1"/>
    <col min="15" max="15" width="15.57421875" style="6" bestFit="1" customWidth="1"/>
    <col min="16" max="16" width="11.421875" style="35" bestFit="1" customWidth="1"/>
    <col min="17" max="17" width="15.57421875" style="7" bestFit="1" customWidth="1"/>
    <col min="18" max="18" width="11.140625" style="35" bestFit="1" customWidth="1"/>
    <col min="19" max="19" width="16.7109375" style="7" bestFit="1" customWidth="1"/>
    <col min="20" max="20" width="11.140625" style="35" customWidth="1"/>
    <col min="21" max="21" width="1.421875" style="42" customWidth="1"/>
    <col min="22" max="23" width="19.28125" style="6" bestFit="1" customWidth="1"/>
    <col min="24" max="24" width="24.00390625" style="35" bestFit="1" customWidth="1"/>
    <col min="25" max="26" width="19.8515625" style="6" bestFit="1" customWidth="1"/>
    <col min="27" max="27" width="19.8515625" style="35" bestFit="1" customWidth="1"/>
    <col min="28" max="29" width="20.421875" style="6" bestFit="1" customWidth="1"/>
    <col min="30" max="30" width="23.421875" style="35" bestFit="1" customWidth="1"/>
    <col min="31" max="32" width="20.57421875" style="6" bestFit="1" customWidth="1"/>
    <col min="33" max="33" width="15.421875" style="35" bestFit="1" customWidth="1"/>
    <col min="34" max="35" width="20.00390625" style="6" bestFit="1" customWidth="1"/>
    <col min="36" max="36" width="14.57421875" style="35" bestFit="1" customWidth="1"/>
    <col min="37" max="38" width="20.57421875" style="6" bestFit="1" customWidth="1"/>
    <col min="39" max="39" width="7.7109375" style="35" bestFit="1" customWidth="1"/>
    <col min="40" max="16384" width="9.140625" style="6" customWidth="1"/>
  </cols>
  <sheetData>
    <row r="1" spans="1:39" s="3" customFormat="1" ht="15.75">
      <c r="A1" s="87" t="s">
        <v>12</v>
      </c>
      <c r="B1" s="33"/>
      <c r="C1" s="116"/>
      <c r="D1" s="116"/>
      <c r="E1" s="9"/>
      <c r="F1" s="34"/>
      <c r="G1" s="13" t="s">
        <v>227</v>
      </c>
      <c r="H1" s="9"/>
      <c r="J1" s="9"/>
      <c r="L1" s="9"/>
      <c r="N1" s="9"/>
      <c r="P1" s="9"/>
      <c r="Q1" s="9"/>
      <c r="R1" s="9"/>
      <c r="S1" s="9"/>
      <c r="T1" s="9"/>
      <c r="U1" s="34"/>
      <c r="V1" s="1" t="s">
        <v>228</v>
      </c>
      <c r="W1" s="1"/>
      <c r="X1" s="9"/>
      <c r="AA1" s="9"/>
      <c r="AD1" s="9"/>
      <c r="AG1" s="9"/>
      <c r="AJ1" s="9"/>
      <c r="AM1" s="9"/>
    </row>
    <row r="2" spans="3:39" ht="12.75">
      <c r="C2" s="271"/>
      <c r="D2" s="271"/>
      <c r="E2" s="35"/>
      <c r="F2" s="36"/>
      <c r="H2" s="35"/>
      <c r="J2" s="35"/>
      <c r="L2" s="35"/>
      <c r="N2" s="35"/>
      <c r="Q2" s="35"/>
      <c r="S2" s="35"/>
      <c r="U2" s="36"/>
      <c r="X2" s="35"/>
      <c r="AA2" s="35"/>
      <c r="AD2" s="35"/>
      <c r="AG2" s="35"/>
      <c r="AJ2" s="35"/>
      <c r="AM2" s="35"/>
    </row>
    <row r="3" spans="1:39" s="14" customFormat="1" ht="12.75">
      <c r="A3" s="14" t="s">
        <v>229</v>
      </c>
      <c r="B3" s="14" t="s">
        <v>230</v>
      </c>
      <c r="C3" s="272" t="s">
        <v>231</v>
      </c>
      <c r="D3" s="272" t="s">
        <v>232</v>
      </c>
      <c r="E3" s="37" t="s">
        <v>233</v>
      </c>
      <c r="F3" s="38"/>
      <c r="G3" s="14" t="s">
        <v>234</v>
      </c>
      <c r="H3" s="37" t="s">
        <v>233</v>
      </c>
      <c r="I3" s="14" t="s">
        <v>235</v>
      </c>
      <c r="J3" s="37" t="s">
        <v>233</v>
      </c>
      <c r="K3" s="14" t="s">
        <v>236</v>
      </c>
      <c r="L3" s="37" t="s">
        <v>233</v>
      </c>
      <c r="M3" s="14" t="s">
        <v>237</v>
      </c>
      <c r="N3" s="37" t="s">
        <v>233</v>
      </c>
      <c r="O3" s="14" t="s">
        <v>238</v>
      </c>
      <c r="P3" s="37" t="s">
        <v>233</v>
      </c>
      <c r="Q3" s="14" t="s">
        <v>421</v>
      </c>
      <c r="R3" s="37" t="s">
        <v>233</v>
      </c>
      <c r="S3" s="14" t="s">
        <v>507</v>
      </c>
      <c r="T3" s="37" t="s">
        <v>233</v>
      </c>
      <c r="U3" s="38"/>
      <c r="V3" s="14" t="s">
        <v>239</v>
      </c>
      <c r="W3" s="14" t="s">
        <v>240</v>
      </c>
      <c r="X3" s="37" t="s">
        <v>233</v>
      </c>
      <c r="Y3" s="14" t="s">
        <v>241</v>
      </c>
      <c r="Z3" s="14" t="s">
        <v>242</v>
      </c>
      <c r="AA3" s="37" t="s">
        <v>233</v>
      </c>
      <c r="AB3" s="14" t="s">
        <v>243</v>
      </c>
      <c r="AC3" s="14" t="s">
        <v>244</v>
      </c>
      <c r="AD3" s="37" t="s">
        <v>233</v>
      </c>
      <c r="AE3" s="14" t="s">
        <v>245</v>
      </c>
      <c r="AF3" s="14" t="s">
        <v>246</v>
      </c>
      <c r="AG3" s="37" t="s">
        <v>233</v>
      </c>
      <c r="AH3" s="14" t="s">
        <v>247</v>
      </c>
      <c r="AI3" s="14" t="s">
        <v>248</v>
      </c>
      <c r="AJ3" s="37" t="s">
        <v>233</v>
      </c>
      <c r="AK3" s="14" t="s">
        <v>249</v>
      </c>
      <c r="AL3" s="14" t="s">
        <v>250</v>
      </c>
      <c r="AM3" s="37" t="s">
        <v>233</v>
      </c>
    </row>
    <row r="4" spans="1:39" ht="12.75">
      <c r="A4" s="48" t="s">
        <v>417</v>
      </c>
      <c r="B4" t="s">
        <v>417</v>
      </c>
      <c r="C4" s="271">
        <f>(($K$4*V4*Y4)+($M$4*V4*AB4)+($O$4*V4*AE4))*AH4</f>
        <v>0</v>
      </c>
      <c r="D4" s="271">
        <f>(($K$4*W4*Z4)+($M$4*W4*AC4)+($O$4*W4*AF4))*AI4</f>
        <v>0</v>
      </c>
      <c r="E4" s="35" t="s">
        <v>427</v>
      </c>
      <c r="F4" s="36"/>
      <c r="G4">
        <f>Invoerscherm!C51</f>
        <v>0</v>
      </c>
      <c r="H4" s="35" t="str">
        <f>Invoerscherm!D51</f>
        <v>m³</v>
      </c>
      <c r="I4" s="82" t="str">
        <f>Invoerscherm!C55</f>
        <v>&lt;&lt; maak keuze &gt;&gt;</v>
      </c>
      <c r="J4" s="11" t="s">
        <v>430</v>
      </c>
      <c r="K4">
        <f>IF(I4="Gestandaardiseerde berekening",G4,IF(I4="Zelf details invoeren",Invoerscherm!H51,0))</f>
        <v>0</v>
      </c>
      <c r="L4" s="35" t="s">
        <v>418</v>
      </c>
      <c r="M4">
        <f>IF(I4="Gestandaardiseerde berekening",G4*2,IF(I4="Zelf details invoeren",Invoerscherm!H55,0))</f>
        <v>0</v>
      </c>
      <c r="N4" s="35" t="s">
        <v>419</v>
      </c>
      <c r="O4">
        <f>IF(I4="Gestandaardiseerde berekening",G4,IF(I4="Zelf details invoeren",Invoerscherm!K51,0))</f>
        <v>0</v>
      </c>
      <c r="P4" s="35" t="s">
        <v>420</v>
      </c>
      <c r="Q4" s="136" t="str">
        <f>Invoerscherm!C75</f>
        <v>&lt;&lt; maak keuze &gt;&gt;</v>
      </c>
      <c r="R4" s="35" t="s">
        <v>422</v>
      </c>
      <c r="S4" s="35"/>
      <c r="U4" s="36"/>
      <c r="V4">
        <f>'Datablad 1'!B39</f>
        <v>1.7</v>
      </c>
      <c r="W4">
        <f>V4</f>
        <v>1.7</v>
      </c>
      <c r="X4" s="35" t="str">
        <f>'Datablad 1'!C39</f>
        <v>ton/m3</v>
      </c>
      <c r="Y4">
        <f>'Datablad 3'!C4</f>
        <v>0.17</v>
      </c>
      <c r="Z4">
        <f>'Datablad 3'!D4</f>
        <v>0.18</v>
      </c>
      <c r="AA4" s="35" t="s">
        <v>423</v>
      </c>
      <c r="AB4">
        <f>'Datablad 3'!C5</f>
        <v>0.22</v>
      </c>
      <c r="AC4">
        <f>'Datablad 3'!D5</f>
        <v>0.22</v>
      </c>
      <c r="AD4" s="35" t="s">
        <v>424</v>
      </c>
      <c r="AE4">
        <f>'Datablad 3'!C6</f>
        <v>0.26</v>
      </c>
      <c r="AF4">
        <f>'Datablad 3'!D6</f>
        <v>0.26</v>
      </c>
      <c r="AG4" s="35" t="s">
        <v>425</v>
      </c>
      <c r="AH4">
        <f>IF(Q4="Diesel",'Datablad 1'!B11+'Datablad 1'!B2,IF(Q4="Biodiesel",'Datablad 1'!B8+'Datablad 1'!B17,1))</f>
        <v>1</v>
      </c>
      <c r="AI4">
        <f>AH4</f>
        <v>1</v>
      </c>
      <c r="AJ4" s="35" t="s">
        <v>426</v>
      </c>
      <c r="AM4" s="35"/>
    </row>
    <row r="5" spans="1:39" ht="12.75">
      <c r="A5" t="s">
        <v>428</v>
      </c>
      <c r="B5" t="s">
        <v>252</v>
      </c>
      <c r="C5" s="271">
        <f>((((($K$5*($M$5/1000))*100)*V5)/100)*Y5)*1000</f>
        <v>0</v>
      </c>
      <c r="D5" s="271">
        <f>((((($K$5*($M$5/1000))*100)*W5)/100)*Z5)*1000</f>
        <v>0</v>
      </c>
      <c r="E5" s="35" t="s">
        <v>427</v>
      </c>
      <c r="F5" s="36"/>
      <c r="G5" s="82" t="str">
        <f>Invoerscherm!E71</f>
        <v>&lt;&lt; maak keuze &gt;&gt;</v>
      </c>
      <c r="H5" s="11" t="s">
        <v>431</v>
      </c>
      <c r="I5" s="82" t="str">
        <f>Invoerscherm!C55</f>
        <v>&lt;&lt; maak keuze &gt;&gt;</v>
      </c>
      <c r="J5" s="11" t="s">
        <v>430</v>
      </c>
      <c r="K5" t="b">
        <f>IF(I5="Zelf details invoeren",Invoerscherm!H71,IF(I5="Gestandaardiseerde berekening",((((Invoerscherm!C67*1.2)/Invoerscherm!J63)+2*Invoerscherm!J63+2)*2)+((((Invoerscherm!E67*1.2)/Invoerscherm!J63)+2*Invoerscherm!J63+2)*2)+((((Invoerscherm!G67*1.2)/Invoerscherm!J63)+2*Invoerscherm!J63+2)*2)+((((Invoerscherm!I67*1.2)/Invoerscherm!J63)+2*Invoerscherm!J63+2)*2)+((((Invoerscherm!K67*1.2)/Invoerscherm!J63)+2*Invoerscherm!J63+2)*2)))</f>
        <v>0</v>
      </c>
      <c r="L5" s="35" t="s">
        <v>432</v>
      </c>
      <c r="M5" s="10" t="b">
        <f>IF(I5="Zelf details invoeren",Invoerscherm!K71,IF(I5="Gestandaardiseerde berekening",3))</f>
        <v>0</v>
      </c>
      <c r="N5" s="35" t="s">
        <v>434</v>
      </c>
      <c r="Q5" s="35"/>
      <c r="S5" s="35"/>
      <c r="U5" s="36"/>
      <c r="V5">
        <f>IF(G5="HDPE",'Datablad 1'!B46,IF(G5="PET",'Datablad 1'!B49,IF(G5="PP",'Datablad 1'!B48,0)))</f>
        <v>0</v>
      </c>
      <c r="W5">
        <f>V5</f>
        <v>0</v>
      </c>
      <c r="X5" s="35" t="s">
        <v>54</v>
      </c>
      <c r="Y5">
        <f>IF($G$5="HDPE",'Datablad 3'!C29,IF($G$5="PET",'Datablad 3'!C31,IF($G$5="PP",'Datablad 3'!C30,0)))</f>
        <v>0</v>
      </c>
      <c r="Z5">
        <f>IF($G$5="HDPE",'Datablad 3'!D29,IF($G$5="PET",'Datablad 3'!D31,IF($G$5="PP",'Datablad 3'!D30,0)))</f>
        <v>0</v>
      </c>
      <c r="AA5" s="35">
        <f>IF($G$5="HDPE",'Datablad 3'!E29,IF($G$5="PET",'Datablad 3'!E31,IF($G$5="PP",'Datablad 3'!E30,0)))</f>
        <v>0</v>
      </c>
      <c r="AD5" s="35"/>
      <c r="AG5" s="35"/>
      <c r="AJ5" s="35"/>
      <c r="AM5" s="35"/>
    </row>
    <row r="6" spans="1:24" ht="12.75">
      <c r="A6" s="12" t="s">
        <v>417</v>
      </c>
      <c r="B6" s="12" t="s">
        <v>436</v>
      </c>
      <c r="C6" s="285">
        <f>IF($K$6="Tijdelijke damwand",($G$6*$I$6*V6)*0.15,IF($K$6="Blijvende damwand",($G$6*$I$6*V6)*1,0))</f>
        <v>0</v>
      </c>
      <c r="D6" s="285">
        <f>IF($K$6="Tijdelijke damwand",($G$6*$I$6*W6)*0.15,IF($K$6="Blijvende damwand",($G$6*$I$6*W6)*1,0))</f>
        <v>0</v>
      </c>
      <c r="E6" s="35" t="s">
        <v>427</v>
      </c>
      <c r="G6" s="6">
        <f>Invoerscherm!C82</f>
        <v>0</v>
      </c>
      <c r="H6" s="35" t="str">
        <f>Invoerscherm!D82</f>
        <v>m</v>
      </c>
      <c r="I6" s="6">
        <f>Invoerscherm!C86</f>
        <v>0</v>
      </c>
      <c r="J6" s="35" t="str">
        <f>Invoerscherm!D86</f>
        <v>m -mv</v>
      </c>
      <c r="K6" s="82" t="str">
        <f>Invoerscherm!C90</f>
        <v>&lt;&lt; maak keuze &gt;&gt;</v>
      </c>
      <c r="L6" s="11" t="s">
        <v>766</v>
      </c>
      <c r="V6" s="6">
        <f>'Datablad 3'!C32</f>
        <v>335</v>
      </c>
      <c r="W6" s="6">
        <f>'Datablad 3'!D32</f>
        <v>335</v>
      </c>
      <c r="X6" s="35" t="str">
        <f>'Datablad 3'!E32</f>
        <v>kg CO2 / m2 damwand</v>
      </c>
    </row>
    <row r="7" spans="1:36" ht="12.75">
      <c r="A7" s="12" t="s">
        <v>437</v>
      </c>
      <c r="B7" s="12" t="s">
        <v>438</v>
      </c>
      <c r="C7" s="286">
        <f>($G$7*V7*Y7*AB7)+($G$7*AH7*AE7)</f>
        <v>0</v>
      </c>
      <c r="D7" s="286">
        <f>($G$7*W7*Z7*AC7)+($G$7*AI7*AF7)</f>
        <v>0</v>
      </c>
      <c r="E7" s="35" t="s">
        <v>427</v>
      </c>
      <c r="G7" s="6">
        <f>Invoerscherm!C97</f>
        <v>0</v>
      </c>
      <c r="H7" s="35" t="str">
        <f>Invoerscherm!D97</f>
        <v>m³</v>
      </c>
      <c r="I7" s="7" t="s">
        <v>760</v>
      </c>
      <c r="J7" s="11" t="s">
        <v>442</v>
      </c>
      <c r="V7" s="12">
        <f>'Datablad 1'!B39</f>
        <v>1.7</v>
      </c>
      <c r="W7" s="6">
        <f>V7</f>
        <v>1.7</v>
      </c>
      <c r="X7" s="35" t="str">
        <f>'Datablad 1'!C39</f>
        <v>ton/m3</v>
      </c>
      <c r="Y7" s="12">
        <f>'Datablad 3'!C5</f>
        <v>0.22</v>
      </c>
      <c r="Z7" s="12">
        <f>'Datablad 3'!D5</f>
        <v>0.22</v>
      </c>
      <c r="AA7" s="35" t="str">
        <f>'Datablad 3'!E5</f>
        <v>L diesel / ton</v>
      </c>
      <c r="AB7" s="6">
        <f>'Datablad 1'!B2+'Datablad 1'!B11</f>
        <v>3.1357</v>
      </c>
      <c r="AC7" s="6">
        <f>AB7</f>
        <v>3.1357</v>
      </c>
      <c r="AD7" s="11" t="s">
        <v>22</v>
      </c>
      <c r="AE7" s="6">
        <f>IF($I$7="Grijze stroom",'Datablad 1'!B29,IF($I$7="Groene stroom",'Datablad 1'!B30,IF($I$7="Directe windenergie",'Datablad 1'!B31,IF($I$7="Directe zonne-energie",'Datablad 1'!B32,IF($I$7="Directe waterkracht",'Datablad 1'!B33,IF($I$7="Directe biomassa",'Datablad 1'!B34,0))))))</f>
        <v>0.355</v>
      </c>
      <c r="AF7" s="6">
        <f>AE7</f>
        <v>0.355</v>
      </c>
      <c r="AG7" s="6" t="str">
        <f>IF($I$7="Grijze stroom",'Datablad 1'!C29,IF($I$7="Groene stroom",'Datablad 1'!C30,IF($I$7="Directe windenergie",'Datablad 1'!C31,IF($I$7="Directe zonne-energie",'Datablad 1'!C32,IF($I$7="Directe waterkracht",'Datablad 1'!C33,IF($I$7="Directe biomassa",'Datablad 1'!C34,0))))))</f>
        <v>kg CO2/kWh</v>
      </c>
      <c r="AH7" s="6">
        <f>'Datablad 3'!C22</f>
        <v>0.2</v>
      </c>
      <c r="AI7" s="6">
        <f>'Datablad 3'!D22</f>
        <v>0.2</v>
      </c>
      <c r="AJ7" s="6" t="str">
        <f>'Datablad 3'!E22</f>
        <v>kWh / m3</v>
      </c>
    </row>
    <row r="8" spans="1:36" ht="12.75">
      <c r="A8" s="12" t="s">
        <v>437</v>
      </c>
      <c r="B8" s="12" t="s">
        <v>440</v>
      </c>
      <c r="C8" s="286">
        <f>($I$8*Y8*V8*AB8)+($I$8*AH8*AE8)</f>
        <v>0</v>
      </c>
      <c r="D8" s="286">
        <f>($I$8*Z8*W8*AC8)+($I$8*AI8*AF8)</f>
        <v>0</v>
      </c>
      <c r="E8" s="35" t="s">
        <v>427</v>
      </c>
      <c r="G8" s="82" t="str">
        <f>Invoerscherm!G101</f>
        <v>&lt;&lt; maak keuze &gt;&gt;</v>
      </c>
      <c r="H8" s="11" t="s">
        <v>500</v>
      </c>
      <c r="I8" s="6">
        <f>Invoerscherm!C101</f>
        <v>0</v>
      </c>
      <c r="J8" s="35" t="str">
        <f>Invoerscherm!D101</f>
        <v>m³</v>
      </c>
      <c r="K8" s="82" t="str">
        <f>Invoerscherm!K101</f>
        <v>&lt;&lt; maak keuze &gt;&gt;</v>
      </c>
      <c r="L8" s="11" t="s">
        <v>442</v>
      </c>
      <c r="M8" s="82" t="str">
        <f>Invoerscherm!C75</f>
        <v>&lt;&lt; maak keuze &gt;&gt;</v>
      </c>
      <c r="N8" s="35" t="s">
        <v>811</v>
      </c>
      <c r="V8" s="6">
        <f>IF($G$8="Nee",'Datablad 3'!C5,0)</f>
        <v>0</v>
      </c>
      <c r="W8" s="6">
        <f>IF($G$8="Nee",'Datablad 3'!D5,0)</f>
        <v>0</v>
      </c>
      <c r="X8" s="35">
        <f>IF($G$8="Nee",'Datablad 3'!E5,0)</f>
        <v>0</v>
      </c>
      <c r="Y8" s="43">
        <f>'Datablad 1'!B39</f>
        <v>1.7</v>
      </c>
      <c r="Z8" s="6">
        <f>Y8</f>
        <v>1.7</v>
      </c>
      <c r="AA8" s="35" t="str">
        <f>'Datablad 1'!C39</f>
        <v>ton/m3</v>
      </c>
      <c r="AB8" s="6">
        <f>IF($M$8="Diesel",'Datablad 1'!B2+'Datablad 1'!B11,IF($M$8="Biodiesel",'Datablad 1'!B8+'Datablad 1'!B26,0))</f>
        <v>0</v>
      </c>
      <c r="AC8" s="6">
        <f>AB8</f>
        <v>0</v>
      </c>
      <c r="AD8" s="11" t="s">
        <v>812</v>
      </c>
      <c r="AE8" s="6">
        <f>IF($K$8="Grijze stroom",'Datablad 1'!B29,IF($K$8="Groene stroom",'Datablad 1'!B30,IF($K$8="Directe windenergie",'Datablad 1'!B31,IF($K$8="Directe zonne-energie",'Datablad 1'!B32,IF($K$8="Directe waterkracht",'Datablad 1'!B33,IF($K$8="Directe biomassa",'Datablad 1'!B34,0))))))</f>
        <v>0</v>
      </c>
      <c r="AF8" s="6">
        <f>AE8</f>
        <v>0</v>
      </c>
      <c r="AG8" s="6">
        <f>IF($K$8="Grijze stroom",'Datablad 1'!C29,IF($K$8="Groene stroom",'Datablad 1'!C30,IF($K$8="Directe windenergie",'Datablad 1'!C31,IF($K$8="Directe zonne-energie",'Datablad 1'!C32,IF($K$8="Directe waterkracht",'Datablad 1'!C33,IF($K$8="Directe biomassa",'Datablad 1'!C34,0))))))</f>
        <v>0</v>
      </c>
      <c r="AH8" s="6">
        <f>'Datablad 3'!C22</f>
        <v>0.2</v>
      </c>
      <c r="AI8" s="6">
        <f>'Datablad 3'!D22</f>
        <v>0.2</v>
      </c>
      <c r="AJ8" s="6" t="str">
        <f>'Datablad 3'!E22</f>
        <v>kWh / m3</v>
      </c>
    </row>
    <row r="9" spans="1:33" ht="12.75">
      <c r="A9" s="12" t="s">
        <v>428</v>
      </c>
      <c r="B9" s="12" t="s">
        <v>441</v>
      </c>
      <c r="C9" s="286">
        <f>($I$9*V9*Y9)+($I$9*AE9*AB9)</f>
        <v>0</v>
      </c>
      <c r="D9" s="286">
        <f>($I$9*W9*Z9)+($I$9*AF9*AC9)</f>
        <v>0</v>
      </c>
      <c r="E9" s="7" t="s">
        <v>427</v>
      </c>
      <c r="G9" s="82" t="str">
        <f>Invoerscherm!G101</f>
        <v>&lt;&lt; maak keuze &gt;&gt;</v>
      </c>
      <c r="H9" s="11" t="s">
        <v>500</v>
      </c>
      <c r="I9" s="6">
        <f>Invoerscherm!C101</f>
        <v>0</v>
      </c>
      <c r="J9" s="35" t="str">
        <f>Invoerscherm!D101</f>
        <v>m³</v>
      </c>
      <c r="K9" s="82" t="str">
        <f>Invoerscherm!K101</f>
        <v>&lt;&lt; maak keuze &gt;&gt;</v>
      </c>
      <c r="L9" s="11" t="s">
        <v>442</v>
      </c>
      <c r="M9" s="82" t="str">
        <f>Invoerscherm!C75</f>
        <v>&lt;&lt; maak keuze &gt;&gt;</v>
      </c>
      <c r="N9" s="35" t="s">
        <v>811</v>
      </c>
      <c r="V9" s="6">
        <f>IF($G$9="Ja",'Datablad 3'!C25,0)</f>
        <v>0</v>
      </c>
      <c r="W9" s="6">
        <f>IF($G$9="Ja",'Datablad 3'!D25,0)</f>
        <v>0</v>
      </c>
      <c r="X9" s="35">
        <f>IF($G$9="Ja",'Datablad 3'!E25,0)</f>
        <v>0</v>
      </c>
      <c r="Y9" s="6">
        <f>IF($M$9="Diesel",'Datablad 1'!B2+'Datablad 1'!B11,IF($M$9="Biodiesel",'Datablad 1'!B8+'Datablad 1'!B26,0))</f>
        <v>0</v>
      </c>
      <c r="Z9" s="43">
        <f>Y9</f>
        <v>0</v>
      </c>
      <c r="AA9" s="35" t="s">
        <v>812</v>
      </c>
      <c r="AB9" s="6">
        <f>IF($K$9="Grijze stroom",'Datablad 1'!B29,IF($K$9="Groene stroom",'Datablad 1'!B30,IF($K$9="Directe windenergie",'Datablad 1'!B31,IF($K$9="Directe zonne-energie",'Datablad 1'!B32,IF($K$9="Directe waterkracht",'Datablad 1'!B33,IF($K$9="Directe biomassa",'Datablad 1'!B34,0))))))</f>
        <v>0</v>
      </c>
      <c r="AC9" s="6">
        <f>AB9</f>
        <v>0</v>
      </c>
      <c r="AD9" s="6">
        <f>IF($K$9="Grijze stroom",'Datablad 1'!C29,IF($K$9="Groene stroom",'Datablad 1'!C30,IF($K$9="Directe windenergie",'Datablad 1'!C31,IF($K$9="Directe zonne-energie",'Datablad 1'!C32,IF($K$9="Directe waterkracht",'Datablad 1'!C33,IF($K$9="Directe biomassa",'Datablad 1'!C34,0))))))</f>
        <v>0</v>
      </c>
      <c r="AE9" s="6">
        <f>'Datablad 3'!C22</f>
        <v>0.2</v>
      </c>
      <c r="AF9" s="6">
        <f>'Datablad 3'!D22</f>
        <v>0.2</v>
      </c>
      <c r="AG9" s="6" t="str">
        <f>'Datablad 3'!E22</f>
        <v>kWh / m3</v>
      </c>
    </row>
    <row r="10" spans="1:53" s="39" customFormat="1" ht="12.75">
      <c r="A10" s="12" t="s">
        <v>437</v>
      </c>
      <c r="B10" s="12" t="s">
        <v>122</v>
      </c>
      <c r="C10" s="285">
        <f>($G$10*V10)*Y10*AB10</f>
        <v>0</v>
      </c>
      <c r="D10" s="285">
        <f>($G$10*W10)*Z10*AC10</f>
        <v>0</v>
      </c>
      <c r="E10" s="35" t="s">
        <v>427</v>
      </c>
      <c r="F10" s="40"/>
      <c r="G10" s="12">
        <f>Invoerscherm!C112</f>
        <v>0</v>
      </c>
      <c r="H10" s="35" t="str">
        <f>Invoerscherm!D112</f>
        <v>m³</v>
      </c>
      <c r="I10" s="82" t="str">
        <f>Invoerscherm!F112</f>
        <v>&lt;&lt; maak keuze &gt;&gt;</v>
      </c>
      <c r="J10" s="11" t="s">
        <v>442</v>
      </c>
      <c r="L10" s="105"/>
      <c r="N10" s="105"/>
      <c r="P10" s="105"/>
      <c r="Q10" s="41"/>
      <c r="R10" s="105"/>
      <c r="S10" s="41"/>
      <c r="T10" s="105"/>
      <c r="U10" s="40"/>
      <c r="V10" s="6">
        <f>'Datablad 1'!B39</f>
        <v>1.7</v>
      </c>
      <c r="W10" s="12">
        <f>V10</f>
        <v>1.7</v>
      </c>
      <c r="X10" s="35" t="str">
        <f>'Datablad 1'!C39</f>
        <v>ton/m3</v>
      </c>
      <c r="Y10" s="85">
        <f>'Datablad 3'!C18</f>
        <v>5</v>
      </c>
      <c r="Z10" s="85">
        <f>'Datablad 3'!D18</f>
        <v>5</v>
      </c>
      <c r="AA10" s="95" t="str">
        <f>'Datablad 3'!E18</f>
        <v>kWh / ton</v>
      </c>
      <c r="AB10" s="6">
        <f>IF(I10="Grijze stroom",'Datablad 1'!$B$29,IF(I10="Groene stroom",'Datablad 1'!$B$30,IF(I10="Directe windenergie",'Datablad 1'!$B$31,IF(I10="Directe zonne-energie",'Datablad 1'!$B$32,IF(I10="Directe waterkracht",'Datablad 1'!$B$33,IF(I10="Directe biomassa",'Datablad 1'!$B$34,0))))))</f>
        <v>0</v>
      </c>
      <c r="AC10" s="6">
        <f>AB10</f>
        <v>0</v>
      </c>
      <c r="AD10" s="96" t="s">
        <v>39</v>
      </c>
      <c r="AE10" s="6"/>
      <c r="AF10" s="6"/>
      <c r="AG10" s="35"/>
      <c r="AH10" s="6"/>
      <c r="AI10" s="6"/>
      <c r="AJ10" s="35"/>
      <c r="AK10" s="6"/>
      <c r="AL10" s="6"/>
      <c r="AM10" s="35"/>
      <c r="AN10" s="6"/>
      <c r="AO10" s="6"/>
      <c r="AP10" s="6"/>
      <c r="AQ10" s="6"/>
      <c r="AR10" s="6"/>
      <c r="AS10" s="6"/>
      <c r="AT10" s="6"/>
      <c r="AU10" s="6"/>
      <c r="AV10" s="6"/>
      <c r="AW10" s="6"/>
      <c r="AX10" s="6"/>
      <c r="AY10" s="6"/>
      <c r="AZ10" s="6"/>
      <c r="BA10" s="6"/>
    </row>
    <row r="11" spans="1:27" ht="12.75">
      <c r="A11" s="12" t="s">
        <v>437</v>
      </c>
      <c r="B11" s="12" t="s">
        <v>124</v>
      </c>
      <c r="C11" s="286">
        <f>$G$11*V11*Y11</f>
        <v>0</v>
      </c>
      <c r="D11" s="286">
        <f>$G$11*W11*Z11</f>
        <v>0</v>
      </c>
      <c r="E11" s="35" t="s">
        <v>427</v>
      </c>
      <c r="G11" s="6">
        <f>Invoerscherm!C116</f>
        <v>0</v>
      </c>
      <c r="H11" s="35" t="str">
        <f>Invoerscherm!D116</f>
        <v>m³</v>
      </c>
      <c r="I11" s="43"/>
      <c r="V11" s="90">
        <f>'Datablad 3'!C20</f>
        <v>0.15333333333333332</v>
      </c>
      <c r="W11" s="90">
        <f>'Datablad 3'!D20</f>
        <v>1.15</v>
      </c>
      <c r="X11" s="90" t="str">
        <f>'Datablad 3'!E20</f>
        <v>L diesel / m3</v>
      </c>
      <c r="Y11" s="85">
        <f>'Datablad 1'!B2+'Datablad 1'!B11</f>
        <v>3.1357</v>
      </c>
      <c r="Z11" s="85">
        <f>Y11</f>
        <v>3.1357</v>
      </c>
      <c r="AA11" s="35" t="s">
        <v>22</v>
      </c>
    </row>
    <row r="12" spans="1:30" ht="12.75">
      <c r="A12" s="12" t="s">
        <v>437</v>
      </c>
      <c r="B12" s="12" t="s">
        <v>120</v>
      </c>
      <c r="C12" s="285">
        <f>($G$12*V12)*Y12*AB12</f>
        <v>0</v>
      </c>
      <c r="D12" s="285">
        <f>($G$12*W12)*Z12*AC12</f>
        <v>0</v>
      </c>
      <c r="E12" s="35" t="s">
        <v>427</v>
      </c>
      <c r="G12" s="6">
        <f>Invoerscherm!C120</f>
        <v>0</v>
      </c>
      <c r="H12" s="35" t="str">
        <f>Invoerscherm!D120</f>
        <v>m³</v>
      </c>
      <c r="I12" s="82" t="str">
        <f>Invoerscherm!F120</f>
        <v>&lt;&lt; maak keuze &gt;&gt;</v>
      </c>
      <c r="J12" s="11" t="s">
        <v>442</v>
      </c>
      <c r="V12" s="6">
        <f>'Datablad 1'!B39</f>
        <v>1.7</v>
      </c>
      <c r="W12" s="6">
        <f>V12</f>
        <v>1.7</v>
      </c>
      <c r="X12" s="35" t="str">
        <f>'Datablad 1'!C39</f>
        <v>ton/m3</v>
      </c>
      <c r="Y12" s="85">
        <f>'Datablad 3'!C17</f>
        <v>10</v>
      </c>
      <c r="Z12" s="85">
        <f>'Datablad 3'!D17</f>
        <v>20</v>
      </c>
      <c r="AA12" s="95" t="str">
        <f>'Datablad 3'!E17</f>
        <v>kWh / ton</v>
      </c>
      <c r="AB12" s="6">
        <f>IF(I12="Grijze stroom",'Datablad 1'!$B$29,IF(I12="Groene stroom",'Datablad 1'!$B$30,IF(I12="Directe windenergie",'Datablad 1'!$B$31,IF(I12="Directe zonne-energie",'Datablad 1'!$B$32,IF(I12="Directe waterkracht",'Datablad 1'!$B$33,IF(I12="Directe biomassa",'Datablad 1'!$B$34,0))))))</f>
        <v>0</v>
      </c>
      <c r="AC12" s="6">
        <f>AB12</f>
        <v>0</v>
      </c>
      <c r="AD12" s="96" t="s">
        <v>39</v>
      </c>
    </row>
    <row r="13" spans="1:30" ht="12.75">
      <c r="A13" s="12" t="s">
        <v>437</v>
      </c>
      <c r="B13" s="12" t="s">
        <v>443</v>
      </c>
      <c r="C13" s="273">
        <f>($G$13*V13*Y13)+($K$13*AB13)</f>
        <v>0</v>
      </c>
      <c r="D13" s="273">
        <f>($G$13*W13*Z13)+($K$13*AC13)</f>
        <v>0</v>
      </c>
      <c r="E13" s="35" t="s">
        <v>427</v>
      </c>
      <c r="G13" s="6">
        <f>Invoerscherm!C124</f>
        <v>0</v>
      </c>
      <c r="H13" s="35" t="str">
        <f>Invoerscherm!D124</f>
        <v>m³</v>
      </c>
      <c r="I13" s="82" t="str">
        <f>Invoerscherm!F124</f>
        <v>&lt;&lt; maak keuze &gt;&gt;</v>
      </c>
      <c r="J13" s="11" t="s">
        <v>442</v>
      </c>
      <c r="K13" s="43">
        <f>Invoerscherm!I124</f>
        <v>0</v>
      </c>
      <c r="L13" s="35" t="str">
        <f>Invoerscherm!J124</f>
        <v>kg C</v>
      </c>
      <c r="V13" s="6">
        <f>'Datablad 3'!C15</f>
        <v>0.017</v>
      </c>
      <c r="W13" s="6">
        <f>'Datablad 3'!D15</f>
        <v>0.017</v>
      </c>
      <c r="X13" s="35" t="str">
        <f>'Datablad 3'!E15</f>
        <v>kWh / m3</v>
      </c>
      <c r="Y13" s="6">
        <f>IF(I13="Grijze stroom",'Datablad 1'!$B$29,IF(I13="Groene stroom",'Datablad 1'!$B$30,IF(I13="Directe windenergie",'Datablad 1'!$B$31,IF(I13="Directe zonne-energie",'Datablad 1'!$B$32,IF(I13="Directe waterkracht",'Datablad 1'!$B$33,IF(I13="Directe biomassa",'Datablad 1'!$B$34,0))))))</f>
        <v>0</v>
      </c>
      <c r="Z13" s="6">
        <f>Y13</f>
        <v>0</v>
      </c>
      <c r="AA13" s="96" t="s">
        <v>39</v>
      </c>
      <c r="AB13" s="6">
        <f>'Datablad 2'!C4</f>
        <v>0.37</v>
      </c>
      <c r="AC13" s="6">
        <f>AB13</f>
        <v>0.37</v>
      </c>
      <c r="AD13" s="35" t="str">
        <f>'Datablad 2'!D4</f>
        <v>kg CO2 / kg C</v>
      </c>
    </row>
    <row r="14" spans="1:36" ht="12.75">
      <c r="A14" s="25" t="s">
        <v>437</v>
      </c>
      <c r="B14" s="25" t="s">
        <v>251</v>
      </c>
      <c r="C14" s="287">
        <f>($G$14*V14*Y14*AB14)+($I$14*AE14)+($K$14*AH14)</f>
        <v>0</v>
      </c>
      <c r="D14" s="287">
        <f>($G$14*W14*Z14*AC14)+($I$14*AF14)+($K$14*AI14)</f>
        <v>0</v>
      </c>
      <c r="E14" s="35" t="s">
        <v>427</v>
      </c>
      <c r="G14" s="85">
        <f>Invoerscherm!C128</f>
        <v>0</v>
      </c>
      <c r="H14" s="95" t="str">
        <f>Invoerscherm!D128</f>
        <v>m³</v>
      </c>
      <c r="I14" s="85">
        <f>Invoerscherm!F128</f>
        <v>0</v>
      </c>
      <c r="J14" s="95" t="str">
        <f>Invoerscherm!G128</f>
        <v>kg C</v>
      </c>
      <c r="K14" s="314">
        <f>Invoerscherm!I128</f>
        <v>0</v>
      </c>
      <c r="L14" s="315">
        <f>Invoerscherm!J128</f>
        <v>0</v>
      </c>
      <c r="M14" s="85"/>
      <c r="N14" s="95"/>
      <c r="O14" s="85"/>
      <c r="P14" s="95"/>
      <c r="Q14" s="86"/>
      <c r="R14" s="95"/>
      <c r="S14" s="86"/>
      <c r="T14" s="95"/>
      <c r="V14" s="85">
        <f>'Datablad 1'!B39</f>
        <v>1.7</v>
      </c>
      <c r="W14" s="6">
        <f>V14</f>
        <v>1.7</v>
      </c>
      <c r="X14" s="95" t="str">
        <f>'Datablad 1'!C39</f>
        <v>ton/m3</v>
      </c>
      <c r="Y14" s="85">
        <f>'Datablad 3'!C14</f>
        <v>40</v>
      </c>
      <c r="Z14" s="85">
        <f>'Datablad 3'!D14</f>
        <v>50</v>
      </c>
      <c r="AA14" s="95" t="str">
        <f>'Datablad 3'!E14</f>
        <v>L lichte stookolie / ton</v>
      </c>
      <c r="AB14" s="88">
        <f>'Datablad 1'!B5+'Datablad 1'!B14</f>
        <v>3.133</v>
      </c>
      <c r="AC14" s="88">
        <f>AB14</f>
        <v>3.133</v>
      </c>
      <c r="AD14" s="35" t="s">
        <v>28</v>
      </c>
      <c r="AE14" s="85">
        <f>'Datablad 2'!C2</f>
        <v>3.67</v>
      </c>
      <c r="AF14" s="6">
        <f>AE14</f>
        <v>3.67</v>
      </c>
      <c r="AG14" s="95" t="str">
        <f>'Datablad 2'!D2</f>
        <v>kg CO2 / kg C</v>
      </c>
      <c r="AH14" s="85">
        <f>'Datablad 2'!C3</f>
        <v>0.44</v>
      </c>
      <c r="AI14" s="6">
        <f>AH14</f>
        <v>0.44</v>
      </c>
      <c r="AJ14" s="95" t="str">
        <f>'Datablad 2'!D3</f>
        <v>kg CO2 / kg CaCO3</v>
      </c>
    </row>
    <row r="15" spans="1:24" ht="12.75">
      <c r="A15" s="25" t="s">
        <v>428</v>
      </c>
      <c r="B15" s="25" t="s">
        <v>128</v>
      </c>
      <c r="C15" s="273">
        <f>$G$15*V15</f>
        <v>0</v>
      </c>
      <c r="D15" s="273">
        <f>$G$15*W15</f>
        <v>0</v>
      </c>
      <c r="E15" s="7" t="s">
        <v>427</v>
      </c>
      <c r="G15" s="6">
        <f>Invoerscherm!C135</f>
        <v>0</v>
      </c>
      <c r="H15" s="35" t="str">
        <f>Invoerscherm!D135</f>
        <v>kg drooggewicht</v>
      </c>
      <c r="J15" s="11"/>
      <c r="K15" s="43"/>
      <c r="V15" s="85">
        <f>'Datablad 3'!C27</f>
        <v>0.749797</v>
      </c>
      <c r="W15" s="85">
        <f>'Datablad 3'!D27</f>
        <v>0.749797</v>
      </c>
      <c r="X15" s="95" t="str">
        <f>'Datablad 3'!E27</f>
        <v>kg CO2 / kg cement</v>
      </c>
    </row>
    <row r="16" spans="1:24" ht="12.75">
      <c r="A16" s="25" t="s">
        <v>428</v>
      </c>
      <c r="B16" s="25" t="s">
        <v>130</v>
      </c>
      <c r="C16" s="273">
        <f>$G$16*V16</f>
        <v>0</v>
      </c>
      <c r="D16" s="273">
        <f>$G$16*W16</f>
        <v>0</v>
      </c>
      <c r="E16" s="7" t="s">
        <v>427</v>
      </c>
      <c r="G16" s="6">
        <f>Invoerscherm!C139</f>
        <v>0</v>
      </c>
      <c r="H16" s="35" t="str">
        <f>Invoerscherm!D139</f>
        <v>kg drooggewicht</v>
      </c>
      <c r="J16" s="11"/>
      <c r="K16" s="43"/>
      <c r="V16" s="6">
        <f>'Datablad 3'!C28</f>
        <v>0.450083</v>
      </c>
      <c r="W16" s="6">
        <f>'Datablad 3'!D28</f>
        <v>0.450083</v>
      </c>
      <c r="X16" s="35" t="str">
        <f>'Datablad 3'!E28</f>
        <v>kg CO2 / kg bentoniet</v>
      </c>
    </row>
    <row r="17" spans="1:30" ht="12.75">
      <c r="A17" s="25" t="s">
        <v>444</v>
      </c>
      <c r="B17" s="25" t="s">
        <v>445</v>
      </c>
      <c r="C17" s="273">
        <f>((($G$17*V17)*Y17*$I$17)*AB17)*1.5</f>
        <v>0</v>
      </c>
      <c r="D17" s="273">
        <f>((($G$17*W17)*Z17*$I$17)*AC17)*1.5</f>
        <v>0</v>
      </c>
      <c r="E17" s="7" t="s">
        <v>427</v>
      </c>
      <c r="G17" s="6">
        <f>Invoerscherm!E145</f>
        <v>0</v>
      </c>
      <c r="H17" s="35" t="str">
        <f>Invoerscherm!F145</f>
        <v>m³</v>
      </c>
      <c r="I17" s="6">
        <f>Invoerscherm!G145</f>
        <v>0</v>
      </c>
      <c r="J17" s="35" t="str">
        <f>Invoerscherm!H145</f>
        <v>km</v>
      </c>
      <c r="K17" s="82" t="str">
        <f>Invoerscherm!I145</f>
        <v>&lt;&lt; maak keuze &gt;&gt;</v>
      </c>
      <c r="L17" s="11" t="s">
        <v>449</v>
      </c>
      <c r="V17" s="6">
        <f>'Datablad 1'!B39</f>
        <v>1.7</v>
      </c>
      <c r="W17" s="6">
        <f>V17</f>
        <v>1.7</v>
      </c>
      <c r="X17" s="35" t="str">
        <f>'Datablad 1'!C39</f>
        <v>ton/m3</v>
      </c>
      <c r="Y17" s="6">
        <f>IF($K$17="Vrachtwagen",'Datablad 3'!$C$10,IF($K$17="Vrachtschip",'Datablad 3'!$C$11,0))</f>
        <v>0</v>
      </c>
      <c r="Z17" s="89">
        <f>IF($K$17="Vrachtwagen",'Datablad 3'!D10,IF($K$17="Vrachtschip",'Datablad 3'!D11,0))</f>
        <v>0</v>
      </c>
      <c r="AA17" s="35">
        <f>IF($K$17="Vrachtwagen",'Datablad 3'!E10,IF($K$17="Vrachtschip",'Datablad 3'!E11,0))</f>
        <v>0</v>
      </c>
      <c r="AB17" s="44">
        <f>'Datablad 1'!B2+'Datablad 1'!B11</f>
        <v>3.1357</v>
      </c>
      <c r="AC17" s="44">
        <f aca="true" t="shared" si="0" ref="AC17:AC24">AB17</f>
        <v>3.1357</v>
      </c>
      <c r="AD17" s="35" t="s">
        <v>22</v>
      </c>
    </row>
    <row r="18" spans="1:30" ht="12.75">
      <c r="A18" s="25" t="s">
        <v>444</v>
      </c>
      <c r="B18" s="25" t="s">
        <v>446</v>
      </c>
      <c r="C18" s="273">
        <f>((($G$18*V18)*Y18*$I$18)*AB18)*1.5</f>
        <v>0</v>
      </c>
      <c r="D18" s="273">
        <f>((($G$18*W18)*Z18*$I$18)*AC18)*1.5</f>
        <v>0</v>
      </c>
      <c r="E18" s="7" t="s">
        <v>427</v>
      </c>
      <c r="G18" s="6">
        <f>Invoerscherm!E147</f>
        <v>0</v>
      </c>
      <c r="H18" s="35" t="str">
        <f>Invoerscherm!F147</f>
        <v>m³</v>
      </c>
      <c r="I18" s="6">
        <f>Invoerscherm!G147</f>
        <v>0</v>
      </c>
      <c r="J18" s="35" t="str">
        <f>Invoerscherm!H147</f>
        <v>km</v>
      </c>
      <c r="K18" s="82" t="str">
        <f>Invoerscherm!I147</f>
        <v>&lt;&lt; maak keuze &gt;&gt;</v>
      </c>
      <c r="L18" s="11" t="s">
        <v>449</v>
      </c>
      <c r="V18" s="6">
        <f>'Datablad 1'!B39</f>
        <v>1.7</v>
      </c>
      <c r="W18" s="6">
        <f>V18</f>
        <v>1.7</v>
      </c>
      <c r="X18" s="35" t="str">
        <f>'Datablad 1'!C39</f>
        <v>ton/m3</v>
      </c>
      <c r="Y18" s="6">
        <f>IF($K$18="Vrachtwagen",'Datablad 3'!C10,IF($K$18="Vrachtschip",'Datablad 3'!C11,0))</f>
        <v>0</v>
      </c>
      <c r="Z18" s="89">
        <f>IF($K$18="Vrachtwagen",'Datablad 3'!D10,IF($K$18="Vrachtschip",'Datablad 3'!D11,0))</f>
        <v>0</v>
      </c>
      <c r="AA18" s="35">
        <f>IF($K$18="Vrachtwagen",'Datablad 3'!E10,IF($K$18="Vrachtschip",'Datablad 3'!E11,0))</f>
        <v>0</v>
      </c>
      <c r="AB18" s="44">
        <f>'Datablad 1'!$B$2+'Datablad 1'!$B$11</f>
        <v>3.1357</v>
      </c>
      <c r="AC18" s="44">
        <f t="shared" si="0"/>
        <v>3.1357</v>
      </c>
      <c r="AD18" s="35" t="s">
        <v>22</v>
      </c>
    </row>
    <row r="19" spans="1:30" ht="12.75">
      <c r="A19" s="25" t="s">
        <v>444</v>
      </c>
      <c r="B19" s="25" t="s">
        <v>447</v>
      </c>
      <c r="C19" s="273">
        <f>((($G$19*V19)*Y19*$I$19)*AB19)/1.5</f>
        <v>0</v>
      </c>
      <c r="D19" s="273">
        <f>((($G$19*W19)*Z19*$I$19)*AC19)/1.5</f>
        <v>0</v>
      </c>
      <c r="E19" s="7" t="s">
        <v>427</v>
      </c>
      <c r="G19" s="6">
        <f>Invoerscherm!E149</f>
        <v>0</v>
      </c>
      <c r="H19" s="35" t="str">
        <f>Invoerscherm!F149</f>
        <v>m³</v>
      </c>
      <c r="I19" s="6">
        <f>Invoerscherm!G149</f>
        <v>0</v>
      </c>
      <c r="J19" s="35" t="str">
        <f>Invoerscherm!H149</f>
        <v>km</v>
      </c>
      <c r="K19" s="82" t="str">
        <f>Invoerscherm!I149</f>
        <v>&lt;&lt; maak keuze &gt;&gt;</v>
      </c>
      <c r="L19" s="11" t="s">
        <v>449</v>
      </c>
      <c r="V19" s="6">
        <f>'Datablad 1'!$B$39</f>
        <v>1.7</v>
      </c>
      <c r="W19" s="6">
        <f>V19</f>
        <v>1.7</v>
      </c>
      <c r="X19" s="35" t="str">
        <f>'Datablad 1'!$C$39</f>
        <v>ton/m3</v>
      </c>
      <c r="Y19" s="6">
        <f>IF($K$19="Vrachtwagen",'Datablad 3'!C10,IF($K$19="Vrachtschip",'Datablad 3'!C11,0))</f>
        <v>0</v>
      </c>
      <c r="Z19" s="89">
        <f>IF($K$19="Vrachtwagen",'Datablad 3'!D10,IF($K$19="Vrachtschip",'Datablad 3'!D11,0))</f>
        <v>0</v>
      </c>
      <c r="AA19" s="35">
        <f>IF($K$19="Vrachtwagen",'Datablad 3'!E10,IF($K$19="Vrachtschip",'Datablad 3'!E11,0))</f>
        <v>0</v>
      </c>
      <c r="AB19" s="44">
        <f>'Datablad 1'!$B$2+'Datablad 1'!$B$11</f>
        <v>3.1357</v>
      </c>
      <c r="AC19" s="44">
        <f t="shared" si="0"/>
        <v>3.1357</v>
      </c>
      <c r="AD19" s="35" t="s">
        <v>22</v>
      </c>
    </row>
    <row r="20" spans="1:30" ht="12.75">
      <c r="A20" s="25" t="s">
        <v>444</v>
      </c>
      <c r="B20" s="25" t="s">
        <v>448</v>
      </c>
      <c r="C20" s="273">
        <f>((($G$20*V20)*Y20*$I$20)*AB20)*1.5</f>
        <v>0</v>
      </c>
      <c r="D20" s="273">
        <f>((($G$20*W20)*Z20*$I$20)*AC20)*1.5</f>
        <v>0</v>
      </c>
      <c r="E20" s="7" t="s">
        <v>427</v>
      </c>
      <c r="G20" s="6">
        <f>Invoerscherm!E151</f>
        <v>0</v>
      </c>
      <c r="H20" s="35" t="str">
        <f>Invoerscherm!F151</f>
        <v>m³</v>
      </c>
      <c r="I20" s="6">
        <f>Invoerscherm!G151</f>
        <v>0</v>
      </c>
      <c r="J20" s="35" t="str">
        <f>Invoerscherm!H151</f>
        <v>km</v>
      </c>
      <c r="K20" s="82" t="str">
        <f>Invoerscherm!I151</f>
        <v>&lt;&lt; maak keuze &gt;&gt;</v>
      </c>
      <c r="L20" s="11" t="s">
        <v>449</v>
      </c>
      <c r="V20" s="6">
        <f>'Datablad 1'!$B$39</f>
        <v>1.7</v>
      </c>
      <c r="W20" s="6">
        <f>V20</f>
        <v>1.7</v>
      </c>
      <c r="X20" s="35" t="str">
        <f>'Datablad 1'!$C$39</f>
        <v>ton/m3</v>
      </c>
      <c r="Y20" s="90">
        <f>IF($K$20="Vrachtwagen",'Datablad 3'!C10,IF($K$20="Vrachtschip",'Datablad 3'!C11,0))</f>
        <v>0</v>
      </c>
      <c r="Z20" s="90">
        <f>IF($K$20="Vrachtwagen",'Datablad 3'!D10,IF($K$20="Vrachtschip",'Datablad 3'!D11,0))</f>
        <v>0</v>
      </c>
      <c r="AA20" s="35">
        <f>IF($K$20="Vrachtwagen",'Datablad 3'!E10,IF($K$20="Vrachtschip",'Datablad 3'!E11,0))</f>
        <v>0</v>
      </c>
      <c r="AB20" s="44">
        <f>'Datablad 1'!$B$2+'Datablad 1'!$B$11</f>
        <v>3.1357</v>
      </c>
      <c r="AC20" s="44">
        <f t="shared" si="0"/>
        <v>3.1357</v>
      </c>
      <c r="AD20" s="35" t="s">
        <v>22</v>
      </c>
    </row>
    <row r="21" spans="1:30" ht="12.75">
      <c r="A21" s="25" t="s">
        <v>444</v>
      </c>
      <c r="B21" s="25" t="s">
        <v>450</v>
      </c>
      <c r="C21" s="273">
        <f>(($G$21*V21)*Y21*$I$21)*AB21*1.5</f>
        <v>0</v>
      </c>
      <c r="D21" s="273">
        <f>(($G$21*W21)*Z21*$I$21)*AC21*1.5</f>
        <v>0</v>
      </c>
      <c r="E21" s="7" t="s">
        <v>427</v>
      </c>
      <c r="G21" s="6">
        <f>Invoerscherm!E155</f>
        <v>0</v>
      </c>
      <c r="H21" s="35" t="str">
        <f>Invoerscherm!F155</f>
        <v>m³</v>
      </c>
      <c r="I21" s="6">
        <f>Invoerscherm!G155</f>
        <v>0</v>
      </c>
      <c r="J21" s="35" t="str">
        <f>Invoerscherm!H155</f>
        <v>km</v>
      </c>
      <c r="K21" s="82" t="str">
        <f>Invoerscherm!I155</f>
        <v>&lt;&lt; maak keuze &gt;&gt;</v>
      </c>
      <c r="L21" s="11" t="s">
        <v>449</v>
      </c>
      <c r="V21" s="6">
        <f>'Datablad 1'!$B$39</f>
        <v>1.7</v>
      </c>
      <c r="W21" s="6">
        <f>V21</f>
        <v>1.7</v>
      </c>
      <c r="X21" s="35" t="str">
        <f>'Datablad 1'!$C$39</f>
        <v>ton/m3</v>
      </c>
      <c r="Y21" s="6">
        <f>IF($K$21="Vrachtwagen",'Datablad 3'!C10,IF($K$21="Vrachtschip",'Datablad 3'!C11,0))</f>
        <v>0</v>
      </c>
      <c r="Z21" s="6">
        <f>IF($K$21="Vrachtwagen",'Datablad 3'!D10,IF($K$21="Vrachtschip",'Datablad 3'!D11,0))</f>
        <v>0</v>
      </c>
      <c r="AA21" s="35">
        <f>IF($K$21="Vrachtwagen",'Datablad 3'!E10,IF($K$21="Vrachtschip",'Datablad 3'!E11,0))</f>
        <v>0</v>
      </c>
      <c r="AB21" s="44">
        <f>'Datablad 1'!$B$2+'Datablad 1'!$B$11</f>
        <v>3.1357</v>
      </c>
      <c r="AC21" s="44">
        <f t="shared" si="0"/>
        <v>3.1357</v>
      </c>
      <c r="AD21" s="35" t="s">
        <v>22</v>
      </c>
    </row>
    <row r="22" spans="1:30" ht="12.75">
      <c r="A22" s="25" t="s">
        <v>444</v>
      </c>
      <c r="B22" s="25" t="s">
        <v>451</v>
      </c>
      <c r="C22" s="273">
        <f>(($G$22*V22)*Y22*$I$22)*AB22*1.5</f>
        <v>0</v>
      </c>
      <c r="D22" s="273">
        <f>(($G$22*W22)*Z22*$I$22)*AC22*1.5</f>
        <v>0</v>
      </c>
      <c r="E22" s="7" t="s">
        <v>427</v>
      </c>
      <c r="G22" s="6">
        <f>Invoerscherm!E157</f>
        <v>0</v>
      </c>
      <c r="H22" s="35" t="str">
        <f>Invoerscherm!F157</f>
        <v>m³</v>
      </c>
      <c r="I22" s="6">
        <f>Invoerscherm!G157</f>
        <v>0</v>
      </c>
      <c r="J22" s="35" t="str">
        <f>Invoerscherm!H157</f>
        <v>km</v>
      </c>
      <c r="K22" s="82" t="str">
        <f>Invoerscherm!I157</f>
        <v>&lt;&lt; maak keuze &gt;&gt;</v>
      </c>
      <c r="L22" s="11" t="s">
        <v>449</v>
      </c>
      <c r="V22" s="6">
        <f>'Datablad 1'!$B$39</f>
        <v>1.7</v>
      </c>
      <c r="W22" s="6">
        <f aca="true" t="shared" si="1" ref="W22:W32">V22</f>
        <v>1.7</v>
      </c>
      <c r="X22" s="35" t="str">
        <f>'Datablad 1'!$C$39</f>
        <v>ton/m3</v>
      </c>
      <c r="Y22" s="90">
        <f>IF($K$22="Vrachtwagen",'Datablad 3'!C10,IF($K$22="Vrachtschip",'Datablad 3'!C11,0))</f>
        <v>0</v>
      </c>
      <c r="Z22" s="90">
        <f>IF($K$22="Vrachtwagen",'Datablad 3'!D10,IF($K$22="Vrachtschip",'Datablad 3'!D11,0))</f>
        <v>0</v>
      </c>
      <c r="AA22" s="35">
        <f>IF($K$22="Vrachtwagen",'Datablad 3'!E10,IF($K$22="Vrachtschip",'Datablad 3'!E11,0))</f>
        <v>0</v>
      </c>
      <c r="AB22" s="44">
        <f>'Datablad 1'!$B$2+'Datablad 1'!$B$11</f>
        <v>3.1357</v>
      </c>
      <c r="AC22" s="44">
        <f t="shared" si="0"/>
        <v>3.1357</v>
      </c>
      <c r="AD22" s="35" t="s">
        <v>22</v>
      </c>
    </row>
    <row r="23" spans="1:30" ht="12.75">
      <c r="A23" s="25" t="s">
        <v>444</v>
      </c>
      <c r="B23" s="25" t="s">
        <v>452</v>
      </c>
      <c r="C23" s="273">
        <f>(($G$23*V23)*Y23*$I$23)*AB23*1.5</f>
        <v>0</v>
      </c>
      <c r="D23" s="273">
        <f>(($G$23*W23)*Z23*$I$23)*AC23*1.5</f>
        <v>0</v>
      </c>
      <c r="E23" s="7" t="s">
        <v>427</v>
      </c>
      <c r="G23" s="6">
        <f>Invoerscherm!E159</f>
        <v>0</v>
      </c>
      <c r="H23" s="35" t="str">
        <f>Invoerscherm!F159</f>
        <v>m³</v>
      </c>
      <c r="I23" s="6">
        <f>Invoerscherm!G159</f>
        <v>0</v>
      </c>
      <c r="J23" s="35" t="str">
        <f>Invoerscherm!H159</f>
        <v>km</v>
      </c>
      <c r="K23" s="82" t="str">
        <f>Invoerscherm!I159</f>
        <v>&lt;&lt; maak keuze &gt;&gt;</v>
      </c>
      <c r="L23" s="11" t="s">
        <v>449</v>
      </c>
      <c r="V23" s="6">
        <f>'Datablad 1'!$B$39</f>
        <v>1.7</v>
      </c>
      <c r="W23" s="6">
        <f t="shared" si="1"/>
        <v>1.7</v>
      </c>
      <c r="X23" s="35" t="str">
        <f>'Datablad 1'!$C$39</f>
        <v>ton/m3</v>
      </c>
      <c r="Y23" s="90">
        <f>IF($K$23="Vrachtwagen",'Datablad 3'!C10,IF($K$23="Vrachtschip",'Datablad 3'!C11,0))</f>
        <v>0</v>
      </c>
      <c r="Z23" s="90">
        <f>IF($K$23="Vrachtwagen",'Datablad 3'!D10,IF($K$23="Vrachtschip",'Datablad 3'!D11,0))</f>
        <v>0</v>
      </c>
      <c r="AA23" s="35">
        <f>IF($K$23="Vrachtwagen",'Datablad 3'!E10,IF($K$23="Vrachtschip",'Datablad 3'!E11,0))</f>
        <v>0</v>
      </c>
      <c r="AB23" s="44">
        <f>'Datablad 1'!$B$2+'Datablad 1'!$B$11</f>
        <v>3.1357</v>
      </c>
      <c r="AC23" s="44">
        <f t="shared" si="0"/>
        <v>3.1357</v>
      </c>
      <c r="AD23" s="35" t="s">
        <v>22</v>
      </c>
    </row>
    <row r="24" spans="1:30" ht="12.75">
      <c r="A24" s="25" t="s">
        <v>444</v>
      </c>
      <c r="B24" s="25" t="s">
        <v>453</v>
      </c>
      <c r="C24" s="273">
        <f>(($G$24*V24)*Y24*$I$24)*AB24*1.5</f>
        <v>0</v>
      </c>
      <c r="D24" s="273">
        <f>(($G$24*W24)*Z24*$I$24)*AC24*1.5</f>
        <v>0</v>
      </c>
      <c r="E24" s="7" t="s">
        <v>427</v>
      </c>
      <c r="G24" s="6">
        <f>Invoerscherm!E161</f>
        <v>0</v>
      </c>
      <c r="H24" s="35" t="str">
        <f>Invoerscherm!F161</f>
        <v>m³</v>
      </c>
      <c r="I24" s="6">
        <f>Invoerscherm!G161</f>
        <v>0</v>
      </c>
      <c r="J24" s="35" t="str">
        <f>Invoerscherm!H161</f>
        <v>km</v>
      </c>
      <c r="K24" s="82" t="str">
        <f>Invoerscherm!I161</f>
        <v>&lt;&lt; maak keuze &gt;&gt;</v>
      </c>
      <c r="L24" s="11" t="s">
        <v>449</v>
      </c>
      <c r="V24" s="6">
        <f>'Datablad 1'!$B$39</f>
        <v>1.7</v>
      </c>
      <c r="W24" s="6">
        <f t="shared" si="1"/>
        <v>1.7</v>
      </c>
      <c r="X24" s="35" t="str">
        <f>'Datablad 1'!$C$39</f>
        <v>ton/m3</v>
      </c>
      <c r="Y24" s="90">
        <f>IF($K$24="Vrachtwagen",'Datablad 3'!C10,IF($K$24="Vrachtschip",'Datablad 3'!C11,0))</f>
        <v>0</v>
      </c>
      <c r="Z24" s="90">
        <f>IF($K$24="Vrachtwagen",'Datablad 3'!D10,IF($K$24="Vrachtschip",'Datablad 3'!D11,0))</f>
        <v>0</v>
      </c>
      <c r="AA24" s="35">
        <f>IF($K$24="Vrachtwagen",'Datablad 3'!E10,IF($K$24="Vrachtschip",'Datablad 3'!E11,0))</f>
        <v>0</v>
      </c>
      <c r="AB24" s="44">
        <f>'Datablad 1'!$B$2+'Datablad 1'!$B$11</f>
        <v>3.1357</v>
      </c>
      <c r="AC24" s="44">
        <f t="shared" si="0"/>
        <v>3.1357</v>
      </c>
      <c r="AD24" s="35" t="s">
        <v>22</v>
      </c>
    </row>
    <row r="25" spans="1:30" ht="12.75">
      <c r="A25" s="25" t="s">
        <v>444</v>
      </c>
      <c r="B25" s="25" t="s">
        <v>454</v>
      </c>
      <c r="C25" s="273">
        <f>(($G$25*V25)*Y25*$I$25)*AB25*1.5</f>
        <v>0</v>
      </c>
      <c r="D25" s="273">
        <f>(($G$25*W25)*Z25*$I$25)*AC25*1.5</f>
        <v>0</v>
      </c>
      <c r="E25" s="7" t="s">
        <v>427</v>
      </c>
      <c r="G25" s="6">
        <f>Invoerscherm!E165</f>
        <v>0</v>
      </c>
      <c r="H25" s="35" t="str">
        <f>Invoerscherm!F165</f>
        <v>m³</v>
      </c>
      <c r="I25" s="6">
        <f>Invoerscherm!G165</f>
        <v>0</v>
      </c>
      <c r="J25" s="35" t="str">
        <f>Invoerscherm!H165</f>
        <v>km</v>
      </c>
      <c r="K25" s="82" t="str">
        <f>Invoerscherm!I165</f>
        <v>&lt;&lt; maak keuze &gt;&gt;</v>
      </c>
      <c r="L25" s="11" t="s">
        <v>449</v>
      </c>
      <c r="V25" s="6">
        <f>'Datablad 1'!$B$40</f>
        <v>2.3</v>
      </c>
      <c r="W25" s="6">
        <f t="shared" si="1"/>
        <v>2.3</v>
      </c>
      <c r="X25" s="35" t="str">
        <f>'Datablad 1'!$C$39</f>
        <v>ton/m3</v>
      </c>
      <c r="Y25" s="90">
        <f>IF($K$25="Vrachtwagen",'Datablad 3'!C10,IF($K$25="Vrachtschip",'Datablad 3'!C11,0))</f>
        <v>0</v>
      </c>
      <c r="Z25" s="90">
        <f>IF($K$25="Vrachtwagen",'Datablad 3'!D10,IF($K$25="Vrachtschip",'Datablad 3'!D11,0))</f>
        <v>0</v>
      </c>
      <c r="AA25" s="97">
        <f>IF($K$25="Vrachtwagen",'Datablad 3'!E10,IF($K$25="Vrachtschip",'Datablad 3'!E11,0))</f>
        <v>0</v>
      </c>
      <c r="AB25" s="44">
        <f>'Datablad 1'!$B$2+'Datablad 1'!$B$11</f>
        <v>3.1357</v>
      </c>
      <c r="AC25" s="44">
        <f aca="true" t="shared" si="2" ref="AC25:AC32">AB25</f>
        <v>3.1357</v>
      </c>
      <c r="AD25" s="35" t="s">
        <v>22</v>
      </c>
    </row>
    <row r="26" spans="1:30" ht="12.75">
      <c r="A26" s="25" t="s">
        <v>444</v>
      </c>
      <c r="B26" s="25" t="s">
        <v>455</v>
      </c>
      <c r="C26" s="273">
        <f>(($G$26*V26)*Y26*$I$26)*AB26*1.5</f>
        <v>0</v>
      </c>
      <c r="D26" s="273">
        <f>(($G$26*W26)*Z26*$I$26)*AC26*1.5</f>
        <v>0</v>
      </c>
      <c r="E26" s="7" t="s">
        <v>427</v>
      </c>
      <c r="G26" s="6">
        <f>Invoerscherm!E167</f>
        <v>0</v>
      </c>
      <c r="H26" s="35" t="str">
        <f>Invoerscherm!F167</f>
        <v>m³</v>
      </c>
      <c r="I26" s="6">
        <f>Invoerscherm!G167</f>
        <v>0</v>
      </c>
      <c r="J26" s="35" t="str">
        <f>Invoerscherm!H167</f>
        <v>km</v>
      </c>
      <c r="K26" s="82" t="str">
        <f>Invoerscherm!I167</f>
        <v>&lt;&lt; maak keuze &gt;&gt;</v>
      </c>
      <c r="L26" s="11" t="s">
        <v>449</v>
      </c>
      <c r="V26" s="6">
        <f>'Datablad 1'!$B$40</f>
        <v>2.3</v>
      </c>
      <c r="W26" s="6">
        <f t="shared" si="1"/>
        <v>2.3</v>
      </c>
      <c r="X26" s="35" t="str">
        <f>'Datablad 1'!$C$39</f>
        <v>ton/m3</v>
      </c>
      <c r="Y26" s="90">
        <f>IF($K$26="Vrachtwagen",'Datablad 3'!C10,IF($K$26="Vrachtschip",'Datablad 3'!C11,0))</f>
        <v>0</v>
      </c>
      <c r="Z26" s="90">
        <f>IF($K$26="Vrachtwagen",'Datablad 3'!D10,IF($K$26="Vrachtschip",'Datablad 3'!D11,0))</f>
        <v>0</v>
      </c>
      <c r="AA26" s="97">
        <f>IF($K$26="Vrachtwagen",'Datablad 3'!E10,IF($K$26="Vrachtschip",'Datablad 3'!E11,0))</f>
        <v>0</v>
      </c>
      <c r="AB26" s="44">
        <f>'Datablad 1'!$B$2+'Datablad 1'!$B$11</f>
        <v>3.1357</v>
      </c>
      <c r="AC26" s="44">
        <f t="shared" si="2"/>
        <v>3.1357</v>
      </c>
      <c r="AD26" s="35" t="s">
        <v>22</v>
      </c>
    </row>
    <row r="27" spans="1:30" ht="12.75">
      <c r="A27" s="25" t="s">
        <v>444</v>
      </c>
      <c r="B27" s="25" t="s">
        <v>456</v>
      </c>
      <c r="C27" s="273">
        <f>(($G$27*V27)*Y27*$I$27)*AB27*1.5</f>
        <v>0</v>
      </c>
      <c r="D27" s="273">
        <f>(($G$27*W27)*Z27*$I$27)*AC27*1.5</f>
        <v>0</v>
      </c>
      <c r="E27" s="7" t="s">
        <v>427</v>
      </c>
      <c r="G27" s="6">
        <f>Invoerscherm!E169</f>
        <v>0</v>
      </c>
      <c r="H27" s="35" t="str">
        <f>Invoerscherm!F169</f>
        <v>m³</v>
      </c>
      <c r="I27" s="6">
        <f>Invoerscherm!G169</f>
        <v>0</v>
      </c>
      <c r="J27" s="35" t="str">
        <f>Invoerscherm!H169</f>
        <v>km</v>
      </c>
      <c r="K27" s="82" t="str">
        <f>Invoerscherm!I169</f>
        <v>&lt;&lt; maak keuze &gt;&gt;</v>
      </c>
      <c r="L27" s="11" t="s">
        <v>449</v>
      </c>
      <c r="V27" s="6">
        <f>'Datablad 1'!$B$40</f>
        <v>2.3</v>
      </c>
      <c r="W27" s="6">
        <f t="shared" si="1"/>
        <v>2.3</v>
      </c>
      <c r="X27" s="35" t="str">
        <f>'Datablad 1'!$C$39</f>
        <v>ton/m3</v>
      </c>
      <c r="Y27" s="90">
        <f>IF($K$27="Vrachtwagen",'Datablad 3'!C10,IF($K$27="Vrachtschip",'Datablad 3'!C11,0))</f>
        <v>0</v>
      </c>
      <c r="Z27" s="90">
        <f>IF($K$27="Vrachtwagen",'Datablad 3'!D10,IF($K$27="Vrachtschip",'Datablad 3'!D11,0))</f>
        <v>0</v>
      </c>
      <c r="AA27" s="97">
        <f>IF($K$27="Vrachtwagen",'Datablad 3'!E10,IF($K$27="Vrachtschip",'Datablad 3'!E11,0))</f>
        <v>0</v>
      </c>
      <c r="AB27" s="44">
        <f>'Datablad 1'!$B$2+'Datablad 1'!$B$11</f>
        <v>3.1357</v>
      </c>
      <c r="AC27" s="44">
        <f t="shared" si="2"/>
        <v>3.1357</v>
      </c>
      <c r="AD27" s="35" t="s">
        <v>22</v>
      </c>
    </row>
    <row r="28" spans="1:30" ht="12.75">
      <c r="A28" s="25" t="s">
        <v>444</v>
      </c>
      <c r="B28" s="25" t="s">
        <v>457</v>
      </c>
      <c r="C28" s="273">
        <f>(($G$28*V28)*Y28*$I$28)*AB28*1.5</f>
        <v>0</v>
      </c>
      <c r="D28" s="273">
        <f>(($G$28*W28)*Z28*$I$28)*AC28*1.5</f>
        <v>0</v>
      </c>
      <c r="E28" s="7" t="s">
        <v>427</v>
      </c>
      <c r="G28" s="6">
        <f>Invoerscherm!E171</f>
        <v>0</v>
      </c>
      <c r="H28" s="35" t="str">
        <f>Invoerscherm!F171</f>
        <v>m³</v>
      </c>
      <c r="I28" s="6">
        <f>Invoerscherm!G171</f>
        <v>0</v>
      </c>
      <c r="J28" s="35" t="str">
        <f>Invoerscherm!H171</f>
        <v>km</v>
      </c>
      <c r="K28" s="82" t="str">
        <f>Invoerscherm!I171</f>
        <v>&lt;&lt; maak keuze &gt;&gt;</v>
      </c>
      <c r="L28" s="11" t="s">
        <v>449</v>
      </c>
      <c r="V28" s="6">
        <f>'Datablad 1'!$B$40</f>
        <v>2.3</v>
      </c>
      <c r="W28" s="6">
        <f t="shared" si="1"/>
        <v>2.3</v>
      </c>
      <c r="X28" s="35" t="str">
        <f>'Datablad 1'!$C$39</f>
        <v>ton/m3</v>
      </c>
      <c r="Y28" s="90">
        <f>IF($K$28="Vrachtwagen",'Datablad 3'!C10,IF($K$28="Vrachtschip",'Datablad 3'!C11,0))</f>
        <v>0</v>
      </c>
      <c r="Z28" s="90">
        <f>IF($K$28="Vrachtwagen",'Datablad 3'!D10,IF($K$28="Vrachtschip",'Datablad 3'!D11,0))</f>
        <v>0</v>
      </c>
      <c r="AA28" s="97">
        <f>IF($K$28="Vrachtwagen",'Datablad 3'!E10,IF($K$28="Vrachtschip",'Datablad 3'!E11,0))</f>
        <v>0</v>
      </c>
      <c r="AB28" s="44">
        <f>'Datablad 1'!$B$2+'Datablad 1'!$B$11</f>
        <v>3.1357</v>
      </c>
      <c r="AC28" s="44">
        <f t="shared" si="2"/>
        <v>3.1357</v>
      </c>
      <c r="AD28" s="35" t="s">
        <v>22</v>
      </c>
    </row>
    <row r="29" spans="1:30" ht="12.75">
      <c r="A29" s="25" t="s">
        <v>444</v>
      </c>
      <c r="B29" s="25" t="s">
        <v>458</v>
      </c>
      <c r="C29" s="273">
        <f>(($G$29*V29)*Y29*$I$29)*AB29*1.5</f>
        <v>0</v>
      </c>
      <c r="D29" s="273">
        <f>(($G$29*W29)*Z29*$I$29)*AC29*1.5</f>
        <v>0</v>
      </c>
      <c r="E29" s="7" t="s">
        <v>427</v>
      </c>
      <c r="G29" s="6">
        <f>Invoerscherm!E175</f>
        <v>0</v>
      </c>
      <c r="H29" s="35" t="str">
        <f>Invoerscherm!F175</f>
        <v>m³</v>
      </c>
      <c r="I29" s="6">
        <f>Invoerscherm!G175</f>
        <v>0</v>
      </c>
      <c r="J29" s="35" t="str">
        <f>Invoerscherm!H175</f>
        <v>km</v>
      </c>
      <c r="K29" s="82" t="str">
        <f>Invoerscherm!I175</f>
        <v>&lt;&lt; maak keuze &gt;&gt;</v>
      </c>
      <c r="L29" s="11" t="s">
        <v>449</v>
      </c>
      <c r="V29" s="6">
        <f>'Datablad 1'!$B$39</f>
        <v>1.7</v>
      </c>
      <c r="W29" s="6">
        <f t="shared" si="1"/>
        <v>1.7</v>
      </c>
      <c r="X29" s="35" t="str">
        <f>'Datablad 1'!$C$39</f>
        <v>ton/m3</v>
      </c>
      <c r="Y29" s="90">
        <f>IF($K$29="Vrachtwagen",'Datablad 3'!C10,IF($K$29="Vrachtschip",'Datablad 3'!C11,0))</f>
        <v>0</v>
      </c>
      <c r="Z29" s="90">
        <f>IF($K$29="Vrachtwagen",'Datablad 3'!D10,IF($K$29="Vrachtschip",'Datablad 3'!D11,0))</f>
        <v>0</v>
      </c>
      <c r="AA29" s="97">
        <f>IF($K$29="Vrachtwagen",'Datablad 3'!E10,IF($K$29="Vrachtschip",'Datablad 3'!E11,0))</f>
        <v>0</v>
      </c>
      <c r="AB29" s="44">
        <f>'Datablad 1'!$B$2+'Datablad 1'!$B$11</f>
        <v>3.1357</v>
      </c>
      <c r="AC29" s="44">
        <f t="shared" si="2"/>
        <v>3.1357</v>
      </c>
      <c r="AD29" s="35" t="s">
        <v>22</v>
      </c>
    </row>
    <row r="30" spans="1:30" ht="12.75">
      <c r="A30" s="25" t="s">
        <v>444</v>
      </c>
      <c r="B30" s="25" t="s">
        <v>459</v>
      </c>
      <c r="C30" s="273">
        <f>(($G$30*V30)*Y30*$I$30)*AB30*1.5</f>
        <v>0</v>
      </c>
      <c r="D30" s="273">
        <f>(($G$30*W30)*Z30*$I$30)*AC30*1.5</f>
        <v>0</v>
      </c>
      <c r="E30" s="7" t="s">
        <v>427</v>
      </c>
      <c r="G30" s="6">
        <f>Invoerscherm!E177</f>
        <v>0</v>
      </c>
      <c r="H30" s="35" t="str">
        <f>Invoerscherm!F177</f>
        <v>m³</v>
      </c>
      <c r="I30" s="6">
        <f>Invoerscherm!G177</f>
        <v>0</v>
      </c>
      <c r="J30" s="35" t="str">
        <f>Invoerscherm!H177</f>
        <v>km</v>
      </c>
      <c r="K30" s="82" t="str">
        <f>Invoerscherm!I177</f>
        <v>&lt;&lt; maak keuze &gt;&gt;</v>
      </c>
      <c r="L30" s="11" t="s">
        <v>449</v>
      </c>
      <c r="V30" s="6">
        <f>'Datablad 1'!$B$39</f>
        <v>1.7</v>
      </c>
      <c r="W30" s="6">
        <f t="shared" si="1"/>
        <v>1.7</v>
      </c>
      <c r="X30" s="35" t="str">
        <f>'Datablad 1'!$C$39</f>
        <v>ton/m3</v>
      </c>
      <c r="Y30" s="90">
        <f>IF($K$30="Vrachtwagen",'Datablad 3'!C10,IF($K$30="Vrachtschip",'Datablad 3'!C11,0))</f>
        <v>0</v>
      </c>
      <c r="Z30" s="90">
        <f>IF($K$30="Vrachtwagen",'Datablad 3'!D10,IF($K$30="Vrachtschip",'Datablad 3'!D11,0))</f>
        <v>0</v>
      </c>
      <c r="AA30" s="97">
        <f>IF($K$30="Vrachtwagen",'Datablad 3'!E10,IF($K$30="Vrachtschip",'Datablad 3'!E11,0))</f>
        <v>0</v>
      </c>
      <c r="AB30" s="44">
        <f>'Datablad 1'!$B$2+'Datablad 1'!$B$11</f>
        <v>3.1357</v>
      </c>
      <c r="AC30" s="44">
        <f t="shared" si="2"/>
        <v>3.1357</v>
      </c>
      <c r="AD30" s="35" t="s">
        <v>22</v>
      </c>
    </row>
    <row r="31" spans="1:30" ht="12.75">
      <c r="A31" s="25" t="s">
        <v>444</v>
      </c>
      <c r="B31" s="25" t="s">
        <v>460</v>
      </c>
      <c r="C31" s="273">
        <f>(($G$31*V31)*Y31*$I$31)*AB31*1.5</f>
        <v>0</v>
      </c>
      <c r="D31" s="273">
        <f>(($G$31*W31)*Z31*$I$31)*AC31*1.5</f>
        <v>0</v>
      </c>
      <c r="E31" s="7" t="s">
        <v>427</v>
      </c>
      <c r="G31" s="6">
        <f>Invoerscherm!E179</f>
        <v>0</v>
      </c>
      <c r="H31" s="35" t="str">
        <f>Invoerscherm!F179</f>
        <v>m³</v>
      </c>
      <c r="I31" s="6">
        <f>Invoerscherm!G179</f>
        <v>0</v>
      </c>
      <c r="J31" s="35" t="str">
        <f>Invoerscherm!H179</f>
        <v>km</v>
      </c>
      <c r="K31" s="82" t="str">
        <f>Invoerscherm!I179</f>
        <v>&lt;&lt; maak keuze &gt;&gt;</v>
      </c>
      <c r="L31" s="11" t="s">
        <v>449</v>
      </c>
      <c r="V31" s="6">
        <f>'Datablad 1'!$B$39</f>
        <v>1.7</v>
      </c>
      <c r="W31" s="6">
        <f t="shared" si="1"/>
        <v>1.7</v>
      </c>
      <c r="X31" s="35" t="str">
        <f>'Datablad 1'!$C$39</f>
        <v>ton/m3</v>
      </c>
      <c r="Y31" s="90">
        <f>IF($K$31="Vrachtwagen",'Datablad 3'!C10,IF($K$31="Vrachtschip",'Datablad 3'!C11,0))</f>
        <v>0</v>
      </c>
      <c r="Z31" s="90">
        <f>IF($K$31="Vrachtwagen",'Datablad 3'!D10,IF($K$31="Vrachtschip",'Datablad 3'!D11,0))</f>
        <v>0</v>
      </c>
      <c r="AA31" s="97">
        <f>IF($K$31="Vrachtwagen",'Datablad 3'!E10,IF($K$31="Vrachtschip",'Datablad 3'!E11,0))</f>
        <v>0</v>
      </c>
      <c r="AB31" s="44">
        <f>'Datablad 1'!$B$2+'Datablad 1'!$B$11</f>
        <v>3.1357</v>
      </c>
      <c r="AC31" s="44">
        <f t="shared" si="2"/>
        <v>3.1357</v>
      </c>
      <c r="AD31" s="35" t="s">
        <v>22</v>
      </c>
    </row>
    <row r="32" spans="1:30" ht="12.75">
      <c r="A32" s="25" t="s">
        <v>444</v>
      </c>
      <c r="B32" s="25" t="s">
        <v>461</v>
      </c>
      <c r="C32" s="273">
        <f>(($G$32*V32)*Y32*$I$32)*AB32*1.5</f>
        <v>0</v>
      </c>
      <c r="D32" s="273">
        <f>(($G$32*W32)*Z32*$I$32)*AC32*1.5</f>
        <v>0</v>
      </c>
      <c r="E32" s="7" t="s">
        <v>427</v>
      </c>
      <c r="G32" s="6">
        <f>Invoerscherm!E181</f>
        <v>0</v>
      </c>
      <c r="H32" s="35" t="str">
        <f>Invoerscherm!F181</f>
        <v>m³</v>
      </c>
      <c r="I32" s="6">
        <f>Invoerscherm!G181</f>
        <v>0</v>
      </c>
      <c r="J32" s="35" t="str">
        <f>Invoerscherm!H181</f>
        <v>km</v>
      </c>
      <c r="K32" s="82" t="str">
        <f>Invoerscherm!I181</f>
        <v>&lt;&lt; maak keuze &gt;&gt;</v>
      </c>
      <c r="L32" s="11" t="s">
        <v>449</v>
      </c>
      <c r="V32" s="6">
        <f>'Datablad 1'!$B$39</f>
        <v>1.7</v>
      </c>
      <c r="W32" s="6">
        <f t="shared" si="1"/>
        <v>1.7</v>
      </c>
      <c r="X32" s="35" t="str">
        <f>'Datablad 1'!$C$39</f>
        <v>ton/m3</v>
      </c>
      <c r="Y32" s="90">
        <f>IF($K$32="Vrachtwagen",'Datablad 3'!C10,IF($K$32="Vrachtschip",'Datablad 3'!C11,0))</f>
        <v>0</v>
      </c>
      <c r="Z32" s="90">
        <f>IF($K$32="Vrachtwagen",'Datablad 3'!D10,IF($K$32="Vrachtschip",'Datablad 3'!D11,0))</f>
        <v>0</v>
      </c>
      <c r="AA32" s="97">
        <f>IF($K$32="Vrachtwagen",'Datablad 3'!E10,IF($K$32="Vrachtschip",'Datablad 3'!E11,0))</f>
        <v>0</v>
      </c>
      <c r="AB32" s="44">
        <f>'Datablad 1'!$B$2+'Datablad 1'!$B$11</f>
        <v>3.1357</v>
      </c>
      <c r="AC32" s="44">
        <f t="shared" si="2"/>
        <v>3.1357</v>
      </c>
      <c r="AD32" s="35" t="s">
        <v>22</v>
      </c>
    </row>
    <row r="33" spans="1:24" ht="12.75">
      <c r="A33" s="25" t="s">
        <v>444</v>
      </c>
      <c r="B33" s="25" t="s">
        <v>428</v>
      </c>
      <c r="C33" s="273">
        <f>$G$33*$I$33*$K$33*V33*1.5</f>
        <v>0</v>
      </c>
      <c r="D33" s="273">
        <f>$G$33*$I$33*$K$33*W33*1.5</f>
        <v>0</v>
      </c>
      <c r="E33" s="7" t="s">
        <v>427</v>
      </c>
      <c r="G33" s="6">
        <f>Invoerscherm!C188</f>
        <v>0</v>
      </c>
      <c r="H33" s="35" t="str">
        <f>Invoerscherm!D188</f>
        <v>km</v>
      </c>
      <c r="I33" s="6">
        <f>Invoerscherm!C192</f>
        <v>0</v>
      </c>
      <c r="J33" s="11" t="str">
        <f>Invoerscherm!D192</f>
        <v>aantal keer rijden</v>
      </c>
      <c r="K33" s="44">
        <f>Invoerscherm!C196</f>
        <v>0</v>
      </c>
      <c r="L33" s="106" t="str">
        <f>Invoerscherm!D196</f>
        <v>L brandstof / km</v>
      </c>
      <c r="M33" s="82" t="str">
        <f>Invoerscherm!C200</f>
        <v>&lt;&lt; maak keuze &gt;&gt;</v>
      </c>
      <c r="N33" s="11" t="s">
        <v>422</v>
      </c>
      <c r="V33" s="44">
        <f>IF(M33="Diesel",'Datablad 1'!B2+'Datablad 1'!B11,IF(M33="Benzine",'Datablad 1'!B3+'Datablad 1'!B12,IF(M33="LPG",'Datablad 1'!B4+'Datablad 1'!B13,IF(M33="Biodiesel",'Datablad 1'!B8+'Datablad 1'!B17,0))))</f>
        <v>0</v>
      </c>
      <c r="W33" s="44">
        <f>V33</f>
        <v>0</v>
      </c>
      <c r="X33" s="35" t="s">
        <v>496</v>
      </c>
    </row>
    <row r="34" spans="1:23" ht="12.75">
      <c r="A34" s="25"/>
      <c r="B34" s="25"/>
      <c r="E34" s="7"/>
      <c r="J34" s="11"/>
      <c r="K34" s="44"/>
      <c r="L34" s="106"/>
      <c r="M34" s="82"/>
      <c r="N34" s="11"/>
      <c r="V34" s="44"/>
      <c r="W34" s="44"/>
    </row>
    <row r="35" spans="1:23" ht="12.75">
      <c r="A35" s="120" t="s">
        <v>417</v>
      </c>
      <c r="B35" s="121"/>
      <c r="C35" s="274">
        <f>SUM(C4,C6)</f>
        <v>0</v>
      </c>
      <c r="D35" s="274">
        <f>SUM(D4,D6)</f>
        <v>0</v>
      </c>
      <c r="E35" s="7"/>
      <c r="J35" s="11"/>
      <c r="K35" s="44"/>
      <c r="L35" s="106"/>
      <c r="M35" s="82"/>
      <c r="N35" s="11"/>
      <c r="V35" s="44"/>
      <c r="W35" s="44"/>
    </row>
    <row r="36" spans="1:23" ht="12.75">
      <c r="A36" s="120" t="s">
        <v>437</v>
      </c>
      <c r="B36" s="121"/>
      <c r="C36" s="274">
        <f>SUM(C7:C8,C10:C14)</f>
        <v>0</v>
      </c>
      <c r="D36" s="274">
        <f>SUM(D7:D8,D10:D14)</f>
        <v>0</v>
      </c>
      <c r="E36" s="7"/>
      <c r="J36" s="11"/>
      <c r="K36" s="44"/>
      <c r="L36" s="106"/>
      <c r="M36" s="82"/>
      <c r="N36" s="11"/>
      <c r="V36" s="44"/>
      <c r="W36" s="44"/>
    </row>
    <row r="37" spans="1:4" ht="12.75">
      <c r="A37" s="122" t="s">
        <v>428</v>
      </c>
      <c r="B37" s="123"/>
      <c r="C37" s="274">
        <f>SUM(C5,C9,C15:C16)</f>
        <v>0</v>
      </c>
      <c r="D37" s="274">
        <f>SUM(D5,D9,D15:D16)</f>
        <v>0</v>
      </c>
    </row>
    <row r="38" spans="1:4" ht="12.75">
      <c r="A38" s="122" t="s">
        <v>444</v>
      </c>
      <c r="B38" s="123"/>
      <c r="C38" s="274">
        <f>SUM(C17:C33)</f>
        <v>0</v>
      </c>
      <c r="D38" s="274">
        <f>SUM(D17:D33)</f>
        <v>0</v>
      </c>
    </row>
    <row r="39" spans="3:39" s="42" customFormat="1" ht="12.75">
      <c r="C39" s="280"/>
      <c r="D39" s="280"/>
      <c r="H39" s="281"/>
      <c r="J39" s="281"/>
      <c r="L39" s="281"/>
      <c r="N39" s="281"/>
      <c r="P39" s="281"/>
      <c r="Q39" s="282"/>
      <c r="R39" s="281"/>
      <c r="S39" s="282"/>
      <c r="T39" s="281"/>
      <c r="X39" s="281"/>
      <c r="AA39" s="281"/>
      <c r="AD39" s="281"/>
      <c r="AG39" s="281"/>
      <c r="AJ39" s="281"/>
      <c r="AM39" s="281"/>
    </row>
    <row r="40" spans="1:39" ht="15.75">
      <c r="A40" s="87" t="s">
        <v>462</v>
      </c>
      <c r="G40" s="13" t="s">
        <v>227</v>
      </c>
      <c r="H40" s="9"/>
      <c r="I40" s="3"/>
      <c r="J40" s="9"/>
      <c r="K40" s="3"/>
      <c r="L40" s="9"/>
      <c r="M40" s="3"/>
      <c r="N40" s="9"/>
      <c r="O40" s="3"/>
      <c r="P40" s="9"/>
      <c r="Q40" s="9"/>
      <c r="R40" s="9"/>
      <c r="S40" s="9"/>
      <c r="T40" s="9"/>
      <c r="U40" s="34"/>
      <c r="V40" s="1" t="s">
        <v>228</v>
      </c>
      <c r="W40" s="1"/>
      <c r="X40" s="9"/>
      <c r="Y40" s="3"/>
      <c r="Z40" s="3"/>
      <c r="AA40" s="9"/>
      <c r="AB40" s="3"/>
      <c r="AC40" s="3"/>
      <c r="AD40" s="9"/>
      <c r="AE40" s="3"/>
      <c r="AF40" s="3"/>
      <c r="AG40" s="9"/>
      <c r="AH40" s="3"/>
      <c r="AI40" s="3"/>
      <c r="AJ40" s="9"/>
      <c r="AK40" s="3"/>
      <c r="AL40" s="3"/>
      <c r="AM40" s="9"/>
    </row>
    <row r="41" spans="7:38" ht="12.75">
      <c r="G41"/>
      <c r="I41"/>
      <c r="K41"/>
      <c r="M41"/>
      <c r="O41"/>
      <c r="Q41" s="35"/>
      <c r="S41" s="35"/>
      <c r="U41" s="36"/>
      <c r="V41"/>
      <c r="W41"/>
      <c r="Y41"/>
      <c r="Z41"/>
      <c r="AB41"/>
      <c r="AC41"/>
      <c r="AE41"/>
      <c r="AF41"/>
      <c r="AH41"/>
      <c r="AI41"/>
      <c r="AK41"/>
      <c r="AL41"/>
    </row>
    <row r="42" spans="1:39" ht="12.75">
      <c r="A42" s="14" t="s">
        <v>229</v>
      </c>
      <c r="B42" s="14" t="s">
        <v>230</v>
      </c>
      <c r="C42" s="275" t="s">
        <v>231</v>
      </c>
      <c r="D42" s="275" t="s">
        <v>232</v>
      </c>
      <c r="E42" s="162" t="s">
        <v>233</v>
      </c>
      <c r="G42" s="14" t="s">
        <v>234</v>
      </c>
      <c r="H42" s="37" t="s">
        <v>233</v>
      </c>
      <c r="I42" s="14" t="s">
        <v>235</v>
      </c>
      <c r="J42" s="37" t="s">
        <v>233</v>
      </c>
      <c r="K42" s="14" t="s">
        <v>236</v>
      </c>
      <c r="L42" s="37" t="s">
        <v>233</v>
      </c>
      <c r="M42" s="14" t="s">
        <v>237</v>
      </c>
      <c r="N42" s="37" t="s">
        <v>233</v>
      </c>
      <c r="O42" s="14" t="s">
        <v>238</v>
      </c>
      <c r="P42" s="37" t="s">
        <v>233</v>
      </c>
      <c r="Q42" s="14" t="s">
        <v>421</v>
      </c>
      <c r="R42" s="37" t="s">
        <v>233</v>
      </c>
      <c r="S42" s="14" t="s">
        <v>507</v>
      </c>
      <c r="T42" s="37" t="s">
        <v>233</v>
      </c>
      <c r="U42" s="38"/>
      <c r="V42" s="14" t="s">
        <v>239</v>
      </c>
      <c r="W42" s="14" t="s">
        <v>240</v>
      </c>
      <c r="X42" s="37" t="s">
        <v>233</v>
      </c>
      <c r="Y42" s="14" t="s">
        <v>241</v>
      </c>
      <c r="Z42" s="14" t="s">
        <v>242</v>
      </c>
      <c r="AA42" s="37" t="s">
        <v>233</v>
      </c>
      <c r="AB42" s="14" t="s">
        <v>243</v>
      </c>
      <c r="AC42" s="14" t="s">
        <v>244</v>
      </c>
      <c r="AD42" s="37" t="s">
        <v>233</v>
      </c>
      <c r="AE42" s="14" t="s">
        <v>245</v>
      </c>
      <c r="AF42" s="14" t="s">
        <v>246</v>
      </c>
      <c r="AG42" s="37" t="s">
        <v>233</v>
      </c>
      <c r="AH42" s="14" t="s">
        <v>247</v>
      </c>
      <c r="AI42" s="14" t="s">
        <v>248</v>
      </c>
      <c r="AJ42" s="37" t="s">
        <v>233</v>
      </c>
      <c r="AK42" s="14" t="s">
        <v>249</v>
      </c>
      <c r="AL42" s="14" t="s">
        <v>250</v>
      </c>
      <c r="AM42" s="37" t="s">
        <v>233</v>
      </c>
    </row>
    <row r="43" spans="1:36" ht="12.75">
      <c r="A43" s="6" t="s">
        <v>463</v>
      </c>
      <c r="B43" s="6" t="s">
        <v>478</v>
      </c>
      <c r="C43" s="287">
        <f>(((((((PI()*POWER($S$43/10,2))-(PI()*POWER(($S$43-V43)/10,2)))*($G$43*100))*Y43)/100)*AB43)*$I$43)+(IF($Q$43="Gestandaardiseerde berekening",$G$43*$I$43*'Datablad 3'!C131*AH43,$G$43*$I$43*AE43*AH43))</f>
        <v>0</v>
      </c>
      <c r="D43" s="287">
        <f>(((((((PI()*POWER($S$43/10,2))-(PI()*POWER(($S$43-W43)/10,2)))*($G$43*100))*Z43)/100)*AC43)*$I$43)+(IF($Q$43="Gestandaardiseerde berekening",$G$43*$I$43*'Datablad 3'!D131*AI43,$G$43*$I$43*AF43*AI43))</f>
        <v>0</v>
      </c>
      <c r="E43" s="86" t="s">
        <v>427</v>
      </c>
      <c r="G43" s="6">
        <f>Invoerscherm!E214</f>
        <v>0</v>
      </c>
      <c r="H43" s="35" t="str">
        <f>Invoerscherm!F214</f>
        <v>m</v>
      </c>
      <c r="I43" s="6">
        <f>Invoerscherm!G214</f>
        <v>0</v>
      </c>
      <c r="J43" s="35" t="str">
        <f>Invoerscherm!H214</f>
        <v>stuks</v>
      </c>
      <c r="K43" s="82" t="str">
        <f>Invoerscherm!I214</f>
        <v>&lt;&lt; maak keuze &gt;&gt;</v>
      </c>
      <c r="L43" s="11" t="s">
        <v>464</v>
      </c>
      <c r="M43" s="82" t="str">
        <f>Invoerscherm!L214</f>
        <v>&lt;&lt; maak keuze &gt;&gt;</v>
      </c>
      <c r="N43" s="11" t="s">
        <v>465</v>
      </c>
      <c r="O43" s="82" t="str">
        <f>Invoerscherm!O214</f>
        <v>&lt;&lt; maak keuze &gt;&gt;</v>
      </c>
      <c r="P43" s="11" t="s">
        <v>477</v>
      </c>
      <c r="Q43" s="102" t="str">
        <f>Invoerscherm!$C$210</f>
        <v>&lt;&lt; maak keuze &gt;&gt;</v>
      </c>
      <c r="R43" s="11" t="s">
        <v>505</v>
      </c>
      <c r="S43" s="48">
        <f>IF(M43="32 mm",32/2,IF(M43="50 mm",50/2,IF(M43="90 mm",90/2,IF(M43="110 mm",110/2,IF(M43="250 mm",250/2,0)))))</f>
        <v>0</v>
      </c>
      <c r="T43" s="11" t="s">
        <v>508</v>
      </c>
      <c r="V43" s="6">
        <f>IF($M$43="32 mm",'Datablad 3'!C142,IF($M$43="50 mm",'Datablad 3'!C143,IF($M$43="90 mm",'Datablad 3'!C144,IF($M$43="110 mm",'Datablad 3'!C145,IF($M$43="250 mm",'Datablad 3'!C146,0)))))</f>
        <v>0</v>
      </c>
      <c r="W43" s="6">
        <f>IF($M$43="32 mm",'Datablad 3'!D142,IF($M$43="50 mm",'Datablad 3'!D143,IF($M$43="90 mm",'Datablad 3'!D144,IF($M$43="110 mm",'Datablad 3'!D145,IF($M$43="250 mm",'Datablad 3'!D146,0)))))</f>
        <v>0</v>
      </c>
      <c r="X43" s="35">
        <f>IF($M$43="32 mm",'Datablad 3'!E142,IF($M$43="50 mm",'Datablad 3'!E143,IF($M$43="90 mm",'Datablad 3'!E144,IF($M$43="110 mm",'Datablad 3'!E145,IF($M$43="250 mm",'Datablad 3'!E146,0)))))</f>
        <v>0</v>
      </c>
      <c r="Y43" s="6">
        <f>IF($K$43="PVC",'Datablad 1'!B45,IF($K$43="HDPE",'Datablad 1'!B46,IF($K$43="LDPE",'Datablad 1'!B47,IF($K$43="RVS",'Datablad 1'!D52,0))))</f>
        <v>0</v>
      </c>
      <c r="Z43" s="6">
        <f aca="true" t="shared" si="3" ref="Z43:Z50">Y43</f>
        <v>0</v>
      </c>
      <c r="AA43" s="35">
        <f>IF($K$43="PVC",'Datablad 1'!C45,IF($K$43="HDPE",'Datablad 1'!C46,IF($K$43="LDPE",'Datablad 1'!C47,IF($K$43="RVS",'Datablad 1'!E52,0))))</f>
        <v>0</v>
      </c>
      <c r="AB43" s="91">
        <f>IF($K$43="PVC",'Datablad 3'!C137,IF($K$43="HDPE",'Datablad 3'!C138,IF($K$43="LDPE",'Datablad 3'!C139,IF($K$43="RVS",'Datablad 3'!C140,0))))</f>
        <v>0</v>
      </c>
      <c r="AC43" s="91">
        <f>IF($K$43="PVC",'Datablad 3'!D137,IF($K$43="HDPE",'Datablad 3'!D138,IF($K$43="LDPE",'Datablad 3'!D139,IF($K$43="RVS",'Datablad 3'!D140,0))))</f>
        <v>0</v>
      </c>
      <c r="AD43" s="35">
        <f>IF($K$43="PVC",'Datablad 3'!E137,IF($K$43="HDPE",'Datablad 3'!E138,IF($K$43="LDPE",'Datablad 3'!E139,IF($K$43="RVS",'Datablad 3'!E140,0))))</f>
        <v>0</v>
      </c>
      <c r="AE43" s="93">
        <f>IF($O$43="Avegaarboren",'Datablad 3'!C127,IF($O$43="Geoprobe",'Datablad 3'!C128,IF($O$43="Pulsen",'Datablad 3'!C129,IF($O$43="Sonic drilling",'Datablad 3'!C130,0))))</f>
        <v>0</v>
      </c>
      <c r="AF43" s="93">
        <f>IF($O$43="Avegaarboren",'Datablad 3'!D127,IF($O$43="Geoprobe",'Datablad 3'!D128,IF($O$43="Pulsen",'Datablad 3'!D129,IF($O$43="Sonic drilling",'Datablad 3'!D130,0))))</f>
        <v>0</v>
      </c>
      <c r="AG43" s="35">
        <f>IF($O$43="Avegaarboren",'Datablad 3'!E127,IF($O$43="Geoprobe",'Datablad 3'!E128,IF($O$43="Pulsen",'Datablad 3'!E129,IF($O$43="Sonic drilling",'Datablad 3'!E130,0))))</f>
        <v>0</v>
      </c>
      <c r="AH43" s="91">
        <f>'Datablad 1'!B2+'Datablad 1'!B11</f>
        <v>3.1357</v>
      </c>
      <c r="AI43" s="91">
        <f>AH43</f>
        <v>3.1357</v>
      </c>
      <c r="AJ43" s="11" t="s">
        <v>22</v>
      </c>
    </row>
    <row r="44" spans="1:36" ht="12.75">
      <c r="A44" s="6" t="s">
        <v>463</v>
      </c>
      <c r="B44" s="6" t="s">
        <v>479</v>
      </c>
      <c r="C44" s="287">
        <f>(((((((PI()*POWER($S$44/10,2))-(PI()*POWER(($S$44-V44)/10,2)))*($G$44*100))*Y44)/100)*AB44)*$I$44)+(IF($Q$44="Gestandaardiseerde berekening",$G$44*$I$44*'Datablad 3'!C131*AH44,$G$44*$I$44*AE44*AH44))</f>
        <v>0</v>
      </c>
      <c r="D44" s="287">
        <f>(((((((PI()*POWER($S$44/10,2))-(PI()*POWER(($S$44-W44)/10,2)))*($G$44*100))*Z44)/100)*AC44)*$I$44)+(IF($Q$44="Gestandaardiseerde berekening",$G$44*$I$44*'Datablad 3'!D131*AI44,$G$44*$I$44*AF44*AI44))</f>
        <v>0</v>
      </c>
      <c r="E44" s="86" t="s">
        <v>427</v>
      </c>
      <c r="G44" s="6">
        <f>Invoerscherm!E216</f>
        <v>0</v>
      </c>
      <c r="H44" s="35" t="str">
        <f>Invoerscherm!F216</f>
        <v>m</v>
      </c>
      <c r="I44" s="6">
        <f>Invoerscherm!G216</f>
        <v>0</v>
      </c>
      <c r="J44" s="35" t="str">
        <f>Invoerscherm!H216</f>
        <v>stuks</v>
      </c>
      <c r="K44" s="82" t="str">
        <f>Invoerscherm!I216</f>
        <v>&lt;&lt; maak keuze &gt;&gt;</v>
      </c>
      <c r="L44" s="11" t="s">
        <v>464</v>
      </c>
      <c r="M44" s="82" t="str">
        <f>Invoerscherm!L216</f>
        <v>&lt;&lt; maak keuze &gt;&gt;</v>
      </c>
      <c r="N44" s="11" t="s">
        <v>465</v>
      </c>
      <c r="O44" s="82" t="str">
        <f>Invoerscherm!O216</f>
        <v>&lt;&lt; maak keuze &gt;&gt;</v>
      </c>
      <c r="P44" s="11" t="s">
        <v>477</v>
      </c>
      <c r="Q44" s="102" t="str">
        <f>Invoerscherm!$C$210</f>
        <v>&lt;&lt; maak keuze &gt;&gt;</v>
      </c>
      <c r="R44" s="11" t="s">
        <v>505</v>
      </c>
      <c r="S44" s="48">
        <f aca="true" t="shared" si="4" ref="S44:S50">IF(M44="32 mm",32/2,IF(M44="50 mm",50/2,IF(M44="90 mm",90/2,IF(M44="110 mm",110/2,IF(M44="250 mm",250/2,0)))))</f>
        <v>0</v>
      </c>
      <c r="T44" s="11" t="s">
        <v>508</v>
      </c>
      <c r="V44" s="6">
        <f>IF($M$44="32 mm",'Datablad 3'!C142,IF($M$44="50 mm",'Datablad 3'!C143,IF($M$44="90 mm",'Datablad 3'!C144,IF($M$44="110 mm",'Datablad 3'!C145,IF($M$44="250 mm",'Datablad 3'!C146,0)))))</f>
        <v>0</v>
      </c>
      <c r="W44" s="6">
        <f>IF($M$44="32 mm",'Datablad 3'!D142,IF($M$44="50 mm",'Datablad 3'!D143,IF($M$44="90 mm",'Datablad 3'!D144,IF($M$44="110 mm",'Datablad 3'!D145,IF($M$44="250 mm",'Datablad 3'!D146,0)))))</f>
        <v>0</v>
      </c>
      <c r="X44" s="35">
        <f>IF($M$44="32 mm",'Datablad 3'!E142,IF($M$44="50 mm",'Datablad 3'!E143,IF($M$44="90 mm",'Datablad 3'!E144,IF($M$44="110 mm",'Datablad 3'!E145,IF($M$44="250 mm",'Datablad 3'!E146,0)))))</f>
        <v>0</v>
      </c>
      <c r="Y44" s="6">
        <f>IF($K$44="PVC",'Datablad 1'!B45,IF($K$44="HDPE",'Datablad 1'!B46,IF($K$44="LDPE",'Datablad 1'!B47,IF($K$44="RVS",'Datablad 1'!D52,0))))</f>
        <v>0</v>
      </c>
      <c r="Z44" s="6">
        <f t="shared" si="3"/>
        <v>0</v>
      </c>
      <c r="AA44" s="35">
        <f>IF($K$44="PVC",'Datablad 1'!C45,IF($K$44="HDPE",'Datablad 1'!C46,IF($K$44="LDPE",'Datablad 1'!C47,IF($K$44="RVS",'Datablad 1'!E52,0))))</f>
        <v>0</v>
      </c>
      <c r="AB44" s="91">
        <f>IF($K$44="PVC",'Datablad 3'!C137,IF($K$44="HDPE",'Datablad 3'!C138,IF($K$44="LDPE",'Datablad 3'!C139,IF($K$44="RVS",'Datablad 3'!C140,0))))</f>
        <v>0</v>
      </c>
      <c r="AC44" s="91">
        <f>IF($K$44="PVC",'Datablad 3'!D137,IF($K$44="HDPE",'Datablad 3'!D138,IF($K$44="LDPE",'Datablad 3'!D139,IF($K$44="RVS",'Datablad 3'!D140,0))))</f>
        <v>0</v>
      </c>
      <c r="AD44" s="108">
        <f>IF($K$44="PVC",'Datablad 3'!E137,IF($K$44="HDPE",'Datablad 3'!E138,IF($K$44="LDPE",'Datablad 3'!E139,IF($K$44="RVS",'Datablad 3'!E140,0))))</f>
        <v>0</v>
      </c>
      <c r="AE44" s="93">
        <f>IF($O$44="Avegaarboren",'Datablad 3'!C127,IF($O$44="Geoprobe",'Datablad 3'!C128,IF($O$44="Pulsen",'Datablad 3'!C129,IF($O$44="Sonic drilling",'Datablad 3'!C130,0))))</f>
        <v>0</v>
      </c>
      <c r="AF44" s="93">
        <f>IF($O$44="Avegaarboren",'Datablad 3'!D127,IF($O$44="Geoprobe",'Datablad 3'!D128,IF($O$44="Pulsen",'Datablad 3'!D129,IF($O$44="Sonic drilling",'Datablad 3'!D130,0))))</f>
        <v>0</v>
      </c>
      <c r="AG44" s="35">
        <f>IF($O$44="Avegaarboren",'Datablad 3'!E127,IF($O$44="Geoprobe",'Datablad 3'!E128,IF($O$44="Pulsen",'Datablad 3'!E129,IF($O$44="Sonic drilling",'Datablad 3'!E130,0))))</f>
        <v>0</v>
      </c>
      <c r="AH44" s="91">
        <f>'Datablad 1'!B2+'Datablad 1'!B11</f>
        <v>3.1357</v>
      </c>
      <c r="AI44" s="91">
        <f>AH44</f>
        <v>3.1357</v>
      </c>
      <c r="AJ44" s="11" t="s">
        <v>22</v>
      </c>
    </row>
    <row r="45" spans="1:36" ht="12.75">
      <c r="A45" s="6" t="s">
        <v>463</v>
      </c>
      <c r="B45" s="6" t="s">
        <v>480</v>
      </c>
      <c r="C45" s="287">
        <f>(((((((PI()*POWER($S$45/10,2))-(PI()*POWER(($S$45-V45)/10,2)))*($G$45*100))*Y45)/100)*AB45)*$I$45)+(IF($Q$45="Gestandaardiseerde berekening",$G$45*$I$45*'Datablad 3'!C131*AH45,$G$45*$I$45*AE45*AH45))</f>
        <v>0</v>
      </c>
      <c r="D45" s="287">
        <f>(((((((PI()*POWER($S$45/10,2))-(PI()*POWER(($S$45-W45)/10,2)))*($G$45*100))*Z45)/100)*AC45)*$I$45)+(IF($Q$45="Gestandaardiseerde berekening",$G$45*$I$45*'Datablad 3'!D131*AI45,$G$45*$I$45*AF45*AI45))</f>
        <v>0</v>
      </c>
      <c r="E45" s="86" t="s">
        <v>427</v>
      </c>
      <c r="G45" s="6">
        <f>Invoerscherm!E218</f>
        <v>0</v>
      </c>
      <c r="H45" s="35" t="str">
        <f>Invoerscherm!F218</f>
        <v>m</v>
      </c>
      <c r="I45" s="6">
        <f>Invoerscherm!G218</f>
        <v>0</v>
      </c>
      <c r="J45" s="35" t="str">
        <f>Invoerscherm!H218</f>
        <v>stuks</v>
      </c>
      <c r="K45" s="82" t="str">
        <f>Invoerscherm!I218</f>
        <v>&lt;&lt; maak keuze &gt;&gt;</v>
      </c>
      <c r="L45" s="11" t="s">
        <v>464</v>
      </c>
      <c r="M45" s="82" t="str">
        <f>Invoerscherm!L218</f>
        <v>&lt;&lt; maak keuze &gt;&gt;</v>
      </c>
      <c r="N45" s="11" t="s">
        <v>465</v>
      </c>
      <c r="O45" s="82" t="str">
        <f>Invoerscherm!O218</f>
        <v>&lt;&lt; maak keuze &gt;&gt;</v>
      </c>
      <c r="P45" s="11" t="s">
        <v>477</v>
      </c>
      <c r="Q45" s="102" t="str">
        <f>Invoerscherm!$C$210</f>
        <v>&lt;&lt; maak keuze &gt;&gt;</v>
      </c>
      <c r="R45" s="11" t="s">
        <v>505</v>
      </c>
      <c r="S45" s="48">
        <f t="shared" si="4"/>
        <v>0</v>
      </c>
      <c r="T45" s="11" t="s">
        <v>508</v>
      </c>
      <c r="V45" s="6">
        <f>IF($M$45="32 mm",'Datablad 3'!C142,IF($M$45="50 mm",'Datablad 3'!C143,IF($M$45="90 mm",'Datablad 3'!C144,IF($M$45="110 mm",'Datablad 3'!C145,IF($M$45="250 mm",'Datablad 3'!C146,0)))))</f>
        <v>0</v>
      </c>
      <c r="W45" s="6">
        <f>IF($M$45="32 mm",'Datablad 3'!D142,IF($M$45="50 mm",'Datablad 3'!D143,IF($M$45="90 mm",'Datablad 3'!D144,IF($M$45="110 mm",'Datablad 3'!D145,IF($M$45="250 mm",'Datablad 3'!D146,0)))))</f>
        <v>0</v>
      </c>
      <c r="X45" s="35">
        <f>IF($M$45="32 mm",'Datablad 3'!E142,IF($M$45="50 mm",'Datablad 3'!E143,IF($M$45="90 mm",'Datablad 3'!E144,IF($M$45="110 mm",'Datablad 3'!E145,IF($M$45="250 mm",'Datablad 3'!E146,0)))))</f>
        <v>0</v>
      </c>
      <c r="Y45" s="6">
        <f>IF($K$45="PVC",'Datablad 1'!B45,IF($K$45="HDPE",'Datablad 1'!B46,IF($K$45="LDPE",'Datablad 1'!B47,IF($K$45="RVS",'Datablad 1'!D52,0))))</f>
        <v>0</v>
      </c>
      <c r="Z45" s="6">
        <f t="shared" si="3"/>
        <v>0</v>
      </c>
      <c r="AA45" s="35">
        <f>IF($K$45="PVC",'Datablad 1'!C45,IF($K$45="HDPE",'Datablad 1'!C46,IF($K$45="LDPE",'Datablad 1'!C47,IF($K$45="RVS",'Datablad 1'!E52,0))))</f>
        <v>0</v>
      </c>
      <c r="AB45" s="91">
        <f>IF($K$45="PVC",'Datablad 3'!C137,IF($K$45="HDPE",'Datablad 3'!C138,IF($K$45="LDPE",'Datablad 3'!C139,IF($K$45="RVS",'Datablad 3'!C140,0))))</f>
        <v>0</v>
      </c>
      <c r="AC45" s="91">
        <f>IF($K$45="PVC",'Datablad 3'!D137,IF($K$45="HDPE",'Datablad 3'!D138,IF($K$45="LDPE",'Datablad 3'!D139,IF($K$45="RVS",'Datablad 3'!D140,0))))</f>
        <v>0</v>
      </c>
      <c r="AD45" s="108">
        <f>IF($K$45="PVC",'Datablad 3'!E137,IF($K$45="HDPE",'Datablad 3'!E138,IF($K$45="LDPE",'Datablad 3'!E139,IF($K$45="RVS",'Datablad 3'!E140,0))))</f>
        <v>0</v>
      </c>
      <c r="AE45" s="93">
        <f>IF($O$45="Avegaarboren",'Datablad 3'!C127,IF($O$45="Geoprobe",'Datablad 3'!C128,IF($O$45="Pulsen",'Datablad 3'!C129,IF($O$45="Sonic drilling",'Datablad 3'!C130,0))))</f>
        <v>0</v>
      </c>
      <c r="AF45" s="93">
        <f>IF($O$45="Avegaarboren",'Datablad 3'!D127,IF($O$45="Geoprobe",'Datablad 3'!D128,IF($O$45="Pulsen",'Datablad 3'!D129,IF($O$45="Sonic drilling",'Datablad 3'!D130,0))))</f>
        <v>0</v>
      </c>
      <c r="AG45" s="35">
        <f>IF($O$45="Avegaarboren",'Datablad 3'!E127,IF($O$45="Geoprobe",'Datablad 3'!E128,IF($O$45="Pulsen",'Datablad 3'!E129,IF($O$45="Sonic drilling",'Datablad 3'!E130,0))))</f>
        <v>0</v>
      </c>
      <c r="AH45" s="91">
        <f>'Datablad 1'!B2+'Datablad 1'!B11</f>
        <v>3.1357</v>
      </c>
      <c r="AI45" s="91">
        <f>AH45</f>
        <v>3.1357</v>
      </c>
      <c r="AJ45" s="11" t="s">
        <v>22</v>
      </c>
    </row>
    <row r="46" spans="1:36" ht="12.75">
      <c r="A46" s="6" t="s">
        <v>463</v>
      </c>
      <c r="B46" s="6" t="s">
        <v>481</v>
      </c>
      <c r="C46" s="287">
        <f>(((((((PI()*POWER($S$46/10,2))-(PI()*POWER(($S$46-V46)/10,2)))*($G$46*100))*Y46)/100)*AB46)*$I$46)+(IF($Q$46="Gestandaardiseerde berekening",$G$46*$I$46*'Datablad 3'!C131*AH46,$G$46*$I$46*AE46*AH46))</f>
        <v>0</v>
      </c>
      <c r="D46" s="287">
        <f>(((((((PI()*POWER($S$46/10,2))-(PI()*POWER(($S$46-W46)/10,2)))*($G$46*100))*Z46)/100)*AC46)*$I$46)+(IF($Q$46="Gestandaardiseerde berekening",$G$46*$I$46*'Datablad 3'!D131*AI46,$G$46*$I$46*AF46*AI46))</f>
        <v>0</v>
      </c>
      <c r="E46" s="86" t="s">
        <v>427</v>
      </c>
      <c r="G46" s="6">
        <f>Invoerscherm!E220</f>
        <v>0</v>
      </c>
      <c r="H46" s="35" t="str">
        <f>Invoerscherm!F220</f>
        <v>m</v>
      </c>
      <c r="I46" s="6">
        <f>Invoerscherm!G220</f>
        <v>0</v>
      </c>
      <c r="J46" s="35" t="str">
        <f>Invoerscherm!H220</f>
        <v>stuks</v>
      </c>
      <c r="K46" s="82" t="str">
        <f>Invoerscherm!I220</f>
        <v>&lt;&lt; maak keuze &gt;&gt;</v>
      </c>
      <c r="L46" s="11" t="s">
        <v>464</v>
      </c>
      <c r="M46" s="82" t="str">
        <f>Invoerscherm!L220</f>
        <v>&lt;&lt; maak keuze &gt;&gt;</v>
      </c>
      <c r="N46" s="11" t="s">
        <v>465</v>
      </c>
      <c r="O46" s="82" t="str">
        <f>Invoerscherm!O220</f>
        <v>&lt;&lt; maak keuze &gt;&gt;</v>
      </c>
      <c r="P46" s="11" t="s">
        <v>477</v>
      </c>
      <c r="Q46" s="102" t="str">
        <f>Invoerscherm!$C$210</f>
        <v>&lt;&lt; maak keuze &gt;&gt;</v>
      </c>
      <c r="R46" s="11" t="s">
        <v>505</v>
      </c>
      <c r="S46" s="48">
        <f t="shared" si="4"/>
        <v>0</v>
      </c>
      <c r="T46" s="11" t="s">
        <v>508</v>
      </c>
      <c r="V46" s="6">
        <f>IF($M$46="32 mm",'Datablad 3'!C142,IF($M$46="50 mm",'Datablad 3'!C143,IF($M$46="90 mm",'Datablad 3'!C144,IF($M$46="110 mm",'Datablad 3'!C145,IF($M$46="250 mm",'Datablad 3'!C146,0)))))</f>
        <v>0</v>
      </c>
      <c r="W46" s="6">
        <f>IF($M$46="32 mm",'Datablad 3'!D142,IF($M$46="50 mm",'Datablad 3'!D143,IF($M$46="90 mm",'Datablad 3'!D144,IF($M$46="110 mm",'Datablad 3'!D145,IF($M$46="250 mm",'Datablad 3'!D146,0)))))</f>
        <v>0</v>
      </c>
      <c r="X46" s="35">
        <f>IF($M$46="32 mm",'Datablad 3'!E142,IF($M$46="50 mm",'Datablad 3'!E143,IF($M$46="90 mm",'Datablad 3'!E144,IF($M$46="110 mm",'Datablad 3'!E145,IF($M$46="250 mm",'Datablad 3'!E146,0)))))</f>
        <v>0</v>
      </c>
      <c r="Y46" s="6">
        <f>IF($K$46="PVC",'Datablad 1'!B45,IF($K$46="HDPE",'Datablad 1'!B46,IF($K$46="LDPE",'Datablad 1'!B47,IF($K$46="RVS",'Datablad 1'!D52,0))))</f>
        <v>0</v>
      </c>
      <c r="Z46" s="6">
        <f t="shared" si="3"/>
        <v>0</v>
      </c>
      <c r="AA46" s="35">
        <f>IF($K$46="PVC",'Datablad 1'!C45,IF($K$46="HDPE",'Datablad 1'!C46,IF($K$46="LDPE",'Datablad 1'!C47,IF($K$46="RVS",'Datablad 1'!E52,0))))</f>
        <v>0</v>
      </c>
      <c r="AB46" s="91">
        <f>IF($K$46="PVC",'Datablad 3'!C137,IF($K$46="HDPE",'Datablad 3'!C138,IF($K$46="LDPE",'Datablad 3'!C139,IF($K$46="RVS",'Datablad 3'!C140,0))))</f>
        <v>0</v>
      </c>
      <c r="AC46" s="91">
        <f>IF($K$46="PVC",'Datablad 3'!D137,IF($K$46="HDPE",'Datablad 3'!D138,IF($K$46="LDPE",'Datablad 3'!D139,IF($K$46="RVS",'Datablad 3'!D140,0))))</f>
        <v>0</v>
      </c>
      <c r="AD46" s="108">
        <f>IF($K$46="PVC",'Datablad 3'!E137,IF($K$46="HDPE",'Datablad 3'!E138,IF($K$46="LDPE",'Datablad 3'!E139,IF($K$46="RVS",'Datablad 3'!E140,0))))</f>
        <v>0</v>
      </c>
      <c r="AE46" s="6">
        <f>IF($O$46="Avegaarboren",'Datablad 3'!C127,IF($O$46="Geoprobe",'Datablad 3'!C128,IF($O$46="Pulsen",'Datablad 3'!C129,IF($O$46="Sonic drilling",'Datablad 3'!C130,0))))</f>
        <v>0</v>
      </c>
      <c r="AF46" s="6">
        <f>IF($O$46="Avegaarboren",'Datablad 3'!D127,IF($O$46="Geoprobe",'Datablad 3'!D128,IF($O$46="Pulsen",'Datablad 3'!D129,IF($O$46="Sonic drilling",'Datablad 3'!D130,0))))</f>
        <v>0</v>
      </c>
      <c r="AG46" s="35">
        <f>IF($O$46="Avegaarboren",'Datablad 3'!E127,IF($O$46="Geoprobe",'Datablad 3'!E128,IF($O$46="Pulsen",'Datablad 3'!E129,IF($O$46="Sonic drilling",'Datablad 3'!E130,0))))</f>
        <v>0</v>
      </c>
      <c r="AH46" s="91">
        <f>'Datablad 1'!B2+'Datablad 1'!B11</f>
        <v>3.1357</v>
      </c>
      <c r="AI46" s="91">
        <f>AH46</f>
        <v>3.1357</v>
      </c>
      <c r="AJ46" s="11" t="s">
        <v>22</v>
      </c>
    </row>
    <row r="47" spans="1:36" ht="12.75">
      <c r="A47" s="6" t="s">
        <v>463</v>
      </c>
      <c r="B47" s="6" t="s">
        <v>487</v>
      </c>
      <c r="C47" s="287">
        <f>(((((((PI()*POWER($S$47/10,2))-(PI()*POWER(($S$47-V47)/10,2)))*($G$47*100))*Y47)/100)*AB47)*$I$47)+($G$47*$I$47*AE47)</f>
        <v>0</v>
      </c>
      <c r="D47" s="287">
        <f>(((((((PI()*POWER($S$47/10,2))-(PI()*POWER(($S$47-W47)/10,2)))*($G$47*100))*Z47)/100)*AC47)*$I$47)+($G$47*$I$47*AF47)</f>
        <v>0</v>
      </c>
      <c r="E47" s="86" t="s">
        <v>427</v>
      </c>
      <c r="G47" s="6">
        <f>Invoerscherm!E224</f>
        <v>0</v>
      </c>
      <c r="H47" s="35" t="str">
        <f>Invoerscherm!F224</f>
        <v>m</v>
      </c>
      <c r="I47" s="6">
        <f>Invoerscherm!G224</f>
        <v>0</v>
      </c>
      <c r="J47" s="35" t="str">
        <f>Invoerscherm!H224</f>
        <v>stuks</v>
      </c>
      <c r="K47" s="82" t="str">
        <f>Invoerscherm!I224</f>
        <v>&lt;&lt; maak keuze &gt;&gt;</v>
      </c>
      <c r="L47" s="11" t="s">
        <v>491</v>
      </c>
      <c r="M47" s="82" t="str">
        <f>Invoerscherm!L224</f>
        <v>&lt;&lt; maak keuze &gt;&gt;</v>
      </c>
      <c r="N47" s="11" t="s">
        <v>492</v>
      </c>
      <c r="Q47" s="102" t="str">
        <f>Invoerscherm!$C$210</f>
        <v>&lt;&lt; maak keuze &gt;&gt;</v>
      </c>
      <c r="R47" s="11" t="s">
        <v>505</v>
      </c>
      <c r="S47" s="48">
        <f t="shared" si="4"/>
        <v>0</v>
      </c>
      <c r="T47" s="11" t="s">
        <v>508</v>
      </c>
      <c r="V47" s="6">
        <f>IF($M$47="32 mm",'Datablad 3'!C142,IF($M$47="50 mm",'Datablad 3'!C143,IF($M$47="90 mm",'Datablad 3'!C144,IF($M$47="110 mm",'Datablad 3'!C145,IF($M$47="250 mm",'Datablad 3'!C146,0)))))</f>
        <v>0</v>
      </c>
      <c r="W47" s="6">
        <f>IF($M$47="32 mm",'Datablad 3'!D142,IF($M$47="50 mm",'Datablad 3'!D143,IF($M$47="90 mm",'Datablad 3'!D144,IF($M$47="110 mm",'Datablad 3'!D145,IF($M$47="250 mm",'Datablad 3'!D146,0)))))</f>
        <v>0</v>
      </c>
      <c r="X47" s="35">
        <f>IF($M$47="32 mm",'Datablad 3'!E142,IF($M$47="50 mm",'Datablad 3'!E143,IF($M$47="90 mm",'Datablad 3'!E144,IF($M$47="110 mm",'Datablad 3'!E145,IF($M$47="250 mm",'Datablad 3'!E146,0)))))</f>
        <v>0</v>
      </c>
      <c r="Y47" s="6">
        <f>IF($K$47="PVC",'Datablad 1'!B45,IF($K$47="HDPE",'Datablad 1'!B46,IF($K$47="LDPE",'Datablad 1'!B47,IF($K$47="RVS",'Datablad 1'!D52,0))))</f>
        <v>0</v>
      </c>
      <c r="Z47" s="6">
        <f t="shared" si="3"/>
        <v>0</v>
      </c>
      <c r="AA47" s="35">
        <f>IF($K$47="PVC",'Datablad 1'!C45,IF($K$47="HDPE",'Datablad 1'!C46,IF($K$47="LDPE",'Datablad 1'!C47,IF($K$47="RVS",'Datablad 1'!E52,0))))</f>
        <v>0</v>
      </c>
      <c r="AB47" s="91">
        <f>IF($K$47="PVC",'Datablad 3'!C137,IF($K$47="HDPE",'Datablad 3'!C138,IF($K$47="LDPE",'Datablad 3'!C139,IF($K$47="RVS",'Datablad 3'!C140,0))))</f>
        <v>0</v>
      </c>
      <c r="AC47" s="91">
        <f>IF($K$47="PVC",'Datablad 3'!D137,IF($K$47="HDPE",'Datablad 3'!D138,IF($K$47="LDPE",'Datablad 3'!D139,IF($K$47="RVS",'Datablad 3'!D140,0))))</f>
        <v>0</v>
      </c>
      <c r="AD47" s="108">
        <f>IF($K$47="PVC",'Datablad 3'!E137,IF($K$47="HDPE",'Datablad 3'!E138,IF($K$47="LDPE",'Datablad 3'!E139,IF($K$47="RVS",'Datablad 3'!E140,0))))</f>
        <v>0</v>
      </c>
      <c r="AE47" s="85">
        <f>'Datablad 3'!C134</f>
        <v>0.1</v>
      </c>
      <c r="AF47" s="85">
        <f>'Datablad 3'!D134</f>
        <v>0.1</v>
      </c>
      <c r="AG47" s="95" t="str">
        <f>'Datablad 3'!E134</f>
        <v>kg CO2 / m</v>
      </c>
      <c r="AH47" s="91"/>
      <c r="AI47" s="91"/>
      <c r="AJ47" s="11"/>
    </row>
    <row r="48" spans="1:36" ht="12.75">
      <c r="A48" s="6" t="s">
        <v>463</v>
      </c>
      <c r="B48" s="6" t="s">
        <v>488</v>
      </c>
      <c r="C48" s="287">
        <f>(((((((PI()*POWER($S$48/10,2))-(PI()*POWER(($S$48-V48)/10,2)))*($G$48*100))*Y48)/100)*AB48)*$I$48)+($G$48*$I$48*AE48)</f>
        <v>0</v>
      </c>
      <c r="D48" s="287">
        <f>(((((((PI()*POWER($S$48/10,2))-(PI()*POWER(($S$48-W48)/10,2)))*($G$48*100))*Z48)/100)*AC48)*$I$48)+($G$48*$I$48*AF48)</f>
        <v>0</v>
      </c>
      <c r="E48" s="86" t="s">
        <v>427</v>
      </c>
      <c r="G48" s="6">
        <f>Invoerscherm!E226</f>
        <v>0</v>
      </c>
      <c r="H48" s="35" t="str">
        <f>Invoerscherm!F226</f>
        <v>m</v>
      </c>
      <c r="I48" s="6">
        <f>Invoerscherm!G226</f>
        <v>0</v>
      </c>
      <c r="J48" s="35" t="str">
        <f>Invoerscherm!H226</f>
        <v>stuks</v>
      </c>
      <c r="K48" s="82" t="str">
        <f>Invoerscherm!I226</f>
        <v>&lt;&lt; maak keuze &gt;&gt;</v>
      </c>
      <c r="L48" s="11" t="s">
        <v>491</v>
      </c>
      <c r="M48" s="82" t="str">
        <f>Invoerscherm!L226</f>
        <v>&lt;&lt; maak keuze &gt;&gt;</v>
      </c>
      <c r="N48" s="11" t="s">
        <v>492</v>
      </c>
      <c r="Q48" s="102" t="str">
        <f>Invoerscherm!$C$210</f>
        <v>&lt;&lt; maak keuze &gt;&gt;</v>
      </c>
      <c r="R48" s="11" t="s">
        <v>505</v>
      </c>
      <c r="S48" s="48">
        <f t="shared" si="4"/>
        <v>0</v>
      </c>
      <c r="T48" s="11" t="s">
        <v>508</v>
      </c>
      <c r="V48" s="6">
        <f>IF($M$48="32 mm",'Datablad 3'!C142,IF($M$48="50 mm",'Datablad 3'!C143,IF($M$48="90 mm",'Datablad 3'!C144,IF($M$48="110 mm",'Datablad 3'!C145,IF($M$48="250 mm",'Datablad 3'!C146,0)))))</f>
        <v>0</v>
      </c>
      <c r="W48" s="6">
        <f>IF($M$48="32 mm",'Datablad 3'!D142,IF($M$48="50 mm",'Datablad 3'!D143,IF($M$48="90 mm",'Datablad 3'!D144,IF($M$48="110 mm",'Datablad 3'!D145,IF($M$48="250 mm",'Datablad 3'!D146,0)))))</f>
        <v>0</v>
      </c>
      <c r="X48" s="35">
        <f>IF($M$48="32 mm",'Datablad 3'!E142,IF($M$48="50 mm",'Datablad 3'!E143,IF($M$48="90 mm",'Datablad 3'!E144,IF($M$48="110 mm",'Datablad 3'!E145,IF($M$48="250 mm",'Datablad 3'!E146,0)))))</f>
        <v>0</v>
      </c>
      <c r="Y48" s="6">
        <f>IF($K$48="PVC",'Datablad 1'!B45,IF($K$48="HDPE",'Datablad 1'!B46,IF($K$48="LDPE",'Datablad 1'!B47,IF($K$48="RVS",'Datablad 1'!D52,0))))</f>
        <v>0</v>
      </c>
      <c r="Z48" s="6">
        <f t="shared" si="3"/>
        <v>0</v>
      </c>
      <c r="AA48" s="35">
        <f>IF($K$48="PVC",'Datablad 1'!C45,IF($K$48="HDPE",'Datablad 1'!C46,IF($K$48="LDPE",'Datablad 1'!C47,IF($K$48="RVS",'Datablad 1'!E52,0))))</f>
        <v>0</v>
      </c>
      <c r="AB48" s="91">
        <f>IF($K$48="PVC",'Datablad 3'!C137,IF($K$48="HDPE",'Datablad 3'!C138,IF($K$48="LDPE",'Datablad 3'!C139,IF($K$48="RVS",'Datablad 3'!C140,0))))</f>
        <v>0</v>
      </c>
      <c r="AC48" s="91">
        <f>IF($K$48="PVC",'Datablad 3'!D137,IF($K$48="HDPE",'Datablad 3'!D138,IF($K$48="LDPE",'Datablad 3'!D139,IF($K$48="RVS",'Datablad 3'!D140,0))))</f>
        <v>0</v>
      </c>
      <c r="AD48" s="108">
        <f>IF($K$48="PVC",'Datablad 3'!E137,IF($K$48="HDPE",'Datablad 3'!E138,IF($K$48="LDPE",'Datablad 3'!E139,IF($K$48="RVS",'Datablad 3'!E140,0))))</f>
        <v>0</v>
      </c>
      <c r="AE48" s="85">
        <f>'Datablad 3'!C134</f>
        <v>0.1</v>
      </c>
      <c r="AF48" s="85">
        <f>'Datablad 3'!D134</f>
        <v>0.1</v>
      </c>
      <c r="AG48" s="95" t="str">
        <f>'Datablad 3'!E134</f>
        <v>kg CO2 / m</v>
      </c>
      <c r="AH48" s="91"/>
      <c r="AI48" s="91"/>
      <c r="AJ48" s="11"/>
    </row>
    <row r="49" spans="1:36" ht="12.75">
      <c r="A49" s="6" t="s">
        <v>463</v>
      </c>
      <c r="B49" s="6" t="s">
        <v>489</v>
      </c>
      <c r="C49" s="287">
        <f>(((((((PI()*POWER($S$49/10,2))-(PI()*POWER(($S$49-V49)/10,2)))*($G$49*100))*Y49)/100)*AB49)*$I$49)+($G$49*$I$49*AE49)</f>
        <v>0</v>
      </c>
      <c r="D49" s="287">
        <f>(((((((PI()*POWER($S$49/10,2))-(PI()*POWER(($S$49-W49)/10,2)))*($G$49*100))*Z49)/100)*AC49)*$I$49)+($G$49*$I$49*AF49)</f>
        <v>0</v>
      </c>
      <c r="E49" s="86" t="s">
        <v>427</v>
      </c>
      <c r="G49" s="6">
        <f>Invoerscherm!E228</f>
        <v>0</v>
      </c>
      <c r="H49" s="35" t="str">
        <f>Invoerscherm!F228</f>
        <v>m</v>
      </c>
      <c r="I49" s="6">
        <f>Invoerscherm!G228</f>
        <v>0</v>
      </c>
      <c r="J49" s="35" t="str">
        <f>Invoerscherm!H228</f>
        <v>stuks</v>
      </c>
      <c r="K49" s="82" t="str">
        <f>Invoerscherm!I228</f>
        <v>&lt;&lt; maak keuze &gt;&gt;</v>
      </c>
      <c r="L49" s="11" t="s">
        <v>491</v>
      </c>
      <c r="M49" s="82" t="str">
        <f>Invoerscherm!L228</f>
        <v>&lt;&lt; maak keuze &gt;&gt;</v>
      </c>
      <c r="N49" s="11" t="s">
        <v>492</v>
      </c>
      <c r="Q49" s="102" t="str">
        <f>Invoerscherm!$C$210</f>
        <v>&lt;&lt; maak keuze &gt;&gt;</v>
      </c>
      <c r="R49" s="11" t="s">
        <v>505</v>
      </c>
      <c r="S49" s="48">
        <f t="shared" si="4"/>
        <v>0</v>
      </c>
      <c r="T49" s="11" t="s">
        <v>508</v>
      </c>
      <c r="V49" s="6">
        <f>IF($M$49="32 mm",'Datablad 3'!C142,IF($M$49="50 mm",'Datablad 3'!C143,IF($M$49="90 mm",'Datablad 3'!C144,IF($M$49="110 mm",'Datablad 3'!C145,IF($M$49="250 mm",'Datablad 3'!C146,0)))))</f>
        <v>0</v>
      </c>
      <c r="W49" s="6">
        <f>IF($M$49="32 mm",'Datablad 3'!D142,IF($M$49="50 mm",'Datablad 3'!D143,IF($M$49="90 mm",'Datablad 3'!D144,IF($M$49="110 mm",'Datablad 3'!D145,IF($M$49="250 mm",'Datablad 3'!D146,0)))))</f>
        <v>0</v>
      </c>
      <c r="X49" s="35">
        <f>IF($M$49="32 mm",'Datablad 3'!E142,IF($M$49="50 mm",'Datablad 3'!E143,IF($M$49="90 mm",'Datablad 3'!E144,IF($M$49="110 mm",'Datablad 3'!E145,IF($M$49="250 mm",'Datablad 3'!E146,0)))))</f>
        <v>0</v>
      </c>
      <c r="Y49" s="6">
        <f>IF($K$49="PVC",'Datablad 1'!B45,IF($K$49="HDPE",'Datablad 1'!B46,IF($K$49="LDPE",'Datablad 1'!B47,IF($K$49="RVS",'Datablad 1'!D52,0))))</f>
        <v>0</v>
      </c>
      <c r="Z49" s="6">
        <f t="shared" si="3"/>
        <v>0</v>
      </c>
      <c r="AA49" s="35">
        <f>IF($K$49="PVC",'Datablad 1'!C45,IF($K$49="HDPE",'Datablad 1'!C46,IF($K$49="LDPE",'Datablad 1'!C47,IF($K$49="RVS",'Datablad 1'!E52,0))))</f>
        <v>0</v>
      </c>
      <c r="AB49" s="91">
        <f>IF($K$49="PVC",'Datablad 3'!C137,IF($K$49="HDPE",'Datablad 3'!C138,IF($K$49="LDPE",'Datablad 3'!C139,IF($K$49="RVS",'Datablad 3'!C140,0))))</f>
        <v>0</v>
      </c>
      <c r="AC49" s="91">
        <f>IF($K$49="PVC",'Datablad 3'!D137,IF($K$49="HDPE",'Datablad 3'!D138,IF($K$49="LDPE",'Datablad 3'!D139,IF($K$49="RVS",'Datablad 3'!D140,0))))</f>
        <v>0</v>
      </c>
      <c r="AD49" s="108">
        <f>IF($K$49="PVC",'Datablad 3'!E137,IF($K$49="HDPE",'Datablad 3'!E138,IF($K$49="LDPE",'Datablad 3'!E139,IF($K$49="RVS",'Datablad 3'!E140,0))))</f>
        <v>0</v>
      </c>
      <c r="AE49" s="85">
        <f>'Datablad 3'!C134</f>
        <v>0.1</v>
      </c>
      <c r="AF49" s="85">
        <f>'Datablad 3'!D134</f>
        <v>0.1</v>
      </c>
      <c r="AG49" s="95" t="str">
        <f>'Datablad 3'!E134</f>
        <v>kg CO2 / m</v>
      </c>
      <c r="AH49" s="91"/>
      <c r="AI49" s="91"/>
      <c r="AJ49" s="11"/>
    </row>
    <row r="50" spans="1:36" ht="12.75">
      <c r="A50" s="6" t="s">
        <v>463</v>
      </c>
      <c r="B50" s="6" t="s">
        <v>490</v>
      </c>
      <c r="C50" s="287">
        <f>(((((((PI()*POWER($S$50/10,2))-(PI()*POWER(($S$50-V50)/10,2)))*($G$50*100))*Y50)/100)*AB50)*$I$50)+($G$50*$I$50*AE50)</f>
        <v>0</v>
      </c>
      <c r="D50" s="287">
        <f>(((((((PI()*POWER($S$50/10,2))-(PI()*POWER(($S$50-W50)/10,2)))*($G$50*100))*Z50)/100)*AC50)*$I$50)+($G$50*$I$50*AF50)</f>
        <v>0</v>
      </c>
      <c r="E50" s="86" t="s">
        <v>427</v>
      </c>
      <c r="G50" s="6">
        <f>Invoerscherm!E230</f>
        <v>0</v>
      </c>
      <c r="H50" s="35" t="str">
        <f>Invoerscherm!F230</f>
        <v>m</v>
      </c>
      <c r="I50" s="6">
        <f>Invoerscherm!G230</f>
        <v>0</v>
      </c>
      <c r="J50" s="35" t="str">
        <f>Invoerscherm!H230</f>
        <v>stuks</v>
      </c>
      <c r="K50" s="82" t="str">
        <f>Invoerscherm!I230</f>
        <v>&lt;&lt; maak keuze &gt;&gt;</v>
      </c>
      <c r="L50" s="11" t="s">
        <v>491</v>
      </c>
      <c r="M50" s="82" t="str">
        <f>Invoerscherm!L230</f>
        <v>&lt;&lt; maak keuze &gt;&gt;</v>
      </c>
      <c r="N50" s="11" t="s">
        <v>492</v>
      </c>
      <c r="Q50" s="102" t="str">
        <f>Invoerscherm!$C$210</f>
        <v>&lt;&lt; maak keuze &gt;&gt;</v>
      </c>
      <c r="R50" s="11" t="s">
        <v>505</v>
      </c>
      <c r="S50" s="48">
        <f t="shared" si="4"/>
        <v>0</v>
      </c>
      <c r="T50" s="11" t="s">
        <v>508</v>
      </c>
      <c r="V50" s="6">
        <f>IF($M$50="32 mm",'Datablad 3'!C142,IF($M$50="50 mm",'Datablad 3'!C143,IF($M$50="90 mm",'Datablad 3'!C144,IF($M$50="110 mm",'Datablad 3'!C145,IF($M$50="250 mm",'Datablad 3'!C146,0)))))</f>
        <v>0</v>
      </c>
      <c r="W50" s="6">
        <f>IF($M$50="32 mm",'Datablad 3'!D142,IF($M$50="50 mm",'Datablad 3'!D143,IF($M$50="90 mm",'Datablad 3'!D144,IF($M$50="110 mm",'Datablad 3'!D145,IF($M$50="250 mm",'Datablad 3'!D146,0)))))</f>
        <v>0</v>
      </c>
      <c r="X50" s="35">
        <f>IF($M$50="32 mm",'Datablad 3'!E142,IF($M$50="50 mm",'Datablad 3'!E143,IF($M$50="90 mm",'Datablad 3'!E144,IF($M$50="110 mm",'Datablad 3'!E145,IF($M$50="250 mm",'Datablad 3'!E146,0)))))</f>
        <v>0</v>
      </c>
      <c r="Y50" s="6">
        <f>IF($K$50="PVC",'Datablad 1'!B45,IF($K$50="HDPE",'Datablad 1'!B46,IF($K$50="LDPE",'Datablad 1'!B47,IF($K$50="RVS",'Datablad 1'!D52,0))))</f>
        <v>0</v>
      </c>
      <c r="Z50" s="6">
        <f t="shared" si="3"/>
        <v>0</v>
      </c>
      <c r="AA50" s="35">
        <f>IF($K$50="PVC",'Datablad 1'!C45,IF($K$50="HDPE",'Datablad 1'!C46,IF($K$50="LDPE",'Datablad 1'!C47,IF($K$50="RVS",'Datablad 1'!E52,0))))</f>
        <v>0</v>
      </c>
      <c r="AB50" s="91">
        <f>IF($K$50="PVC",'Datablad 3'!C137,IF($K$50="HDPE",'Datablad 3'!C138,IF($K$50="LDPE",'Datablad 3'!C139,IF($K$50="RVS",'Datablad 3'!C140,0))))</f>
        <v>0</v>
      </c>
      <c r="AC50" s="91">
        <f>IF($K$50="PVC",'Datablad 3'!D137,IF($K$50="HDPE",'Datablad 3'!D138,IF($K$50="LDPE",'Datablad 3'!D139,IF($K$50="RVS",'Datablad 3'!D140,0))))</f>
        <v>0</v>
      </c>
      <c r="AD50" s="108">
        <f>IF($K$50="PVC",'Datablad 3'!E137,IF($K$50="HDPE",'Datablad 3'!E138,IF($K$50="LDPE",'Datablad 3'!E139,IF($K$50="RVS",'Datablad 3'!E140,0))))</f>
        <v>0</v>
      </c>
      <c r="AE50" s="85">
        <f>'Datablad 3'!C134</f>
        <v>0.1</v>
      </c>
      <c r="AF50" s="85">
        <f>'Datablad 3'!D134</f>
        <v>0.1</v>
      </c>
      <c r="AG50" s="95" t="str">
        <f>'Datablad 3'!E134</f>
        <v>kg CO2 / m</v>
      </c>
      <c r="AH50" s="91"/>
      <c r="AI50" s="91"/>
      <c r="AJ50" s="11"/>
    </row>
    <row r="51" spans="1:39" s="5" customFormat="1" ht="12.75">
      <c r="A51" s="5" t="s">
        <v>333</v>
      </c>
      <c r="B51" s="5" t="s">
        <v>336</v>
      </c>
      <c r="C51" s="288"/>
      <c r="D51" s="288"/>
      <c r="E51" s="101"/>
      <c r="F51" s="98"/>
      <c r="G51" s="82" t="str">
        <f>Invoerscherm!C237</f>
        <v>&lt;&lt; maak keuze &gt;&gt;</v>
      </c>
      <c r="H51" s="104" t="s">
        <v>495</v>
      </c>
      <c r="I51" s="82" t="str">
        <f>Invoerscherm!F237</f>
        <v>&lt;&lt; maak keuze &gt;&gt;</v>
      </c>
      <c r="J51" s="104" t="s">
        <v>422</v>
      </c>
      <c r="K51" s="82" t="str">
        <f>Invoerscherm!I237</f>
        <v>&lt;&lt; maak keuze &gt;&gt;</v>
      </c>
      <c r="L51" s="104" t="s">
        <v>339</v>
      </c>
      <c r="N51" s="104"/>
      <c r="P51" s="107"/>
      <c r="Q51" s="99"/>
      <c r="R51" s="107"/>
      <c r="S51" s="99"/>
      <c r="T51" s="107"/>
      <c r="U51" s="98"/>
      <c r="V51" s="5">
        <f>IF($K$51="2,4 kW",'Datablad 3'!C59,IF($K$51="6 kW",'Datablad 3'!C62,IF($K$51="8 kW",'Datablad 3'!C63,IF($K$51="12 kW",'Datablad 3'!C64,IF($K$51="13,1 kW",'Datablad 3'!C65,IF($K$51="48 kW",'Datablad 3'!C66,IF($K$51="80 kW",'Datablad 3'!C67,0)))))))</f>
        <v>0</v>
      </c>
      <c r="W51" s="5">
        <f>IF($K$51="2,4 kW",'Datablad 3'!D59,IF($K$51="6 kW",'Datablad 3'!D62,IF($K$51="8 kW",'Datablad 3'!D63,IF($K$51="12 kW",'Datablad 3'!D64,IF($K$51="13,1 kW",'Datablad 3'!D65,IF($K$51="48 kW",'Datablad 3'!D66,IF($K$51="80 kW",'Datablad 3'!D67,0)))))))</f>
        <v>0</v>
      </c>
      <c r="X51" s="107">
        <f>IF($K$51="2,4 kW",'Datablad 3'!E59,IF($K$51="6 kW",'Datablad 3'!E62,IF($K$51="8 kW",'Datablad 3'!E63,IF($K$51="12 kW",'Datablad 3'!E64,IF($K$51="13,1 kW",'Datablad 3'!E65,IF($K$51="48 kW",'Datablad 3'!E66,IF($K$51="80 kW",'Datablad 3'!E67,0)))))))</f>
        <v>0</v>
      </c>
      <c r="Y51" s="100">
        <f>IF($I$51="Diesel",'Datablad 1'!B2+'Datablad 1'!B11,IF($I$51="Biodiesel",'Datablad 1'!B8+'Datablad 1'!B17,0))</f>
        <v>0</v>
      </c>
      <c r="Z51" s="100"/>
      <c r="AA51" s="107" t="s">
        <v>496</v>
      </c>
      <c r="AB51" s="100"/>
      <c r="AC51" s="100"/>
      <c r="AD51" s="109"/>
      <c r="AE51" s="147"/>
      <c r="AF51" s="147"/>
      <c r="AG51" s="148"/>
      <c r="AJ51" s="107"/>
      <c r="AM51" s="107"/>
    </row>
    <row r="52" spans="1:27" ht="12.75">
      <c r="A52" s="6" t="s">
        <v>333</v>
      </c>
      <c r="B52" s="6" t="s">
        <v>151</v>
      </c>
      <c r="C52" s="287" t="b">
        <f>IF(OR($K$52="Grijze stroom",$K$52="Groene stroom",$K$52="Directe windenergie",$K$52="Directe zonne-energie",$K$52="Directe waterkracht",$K$52="Directe biomassa"),V52*Y52*($G$52*24),IF($K$52="Dieselaggregraat",($G$52*24)*V51*Y52))</f>
        <v>0</v>
      </c>
      <c r="D52" s="287" t="b">
        <f>IF(OR($K$52="Grijze stroom",$K$52="Groene stroom",$K$52="Directe windenergie",$K$52="Directe zonne-energie",$K$52="Directe waterkracht",$K$52="Directe biomassa"),W52*Z52*($G$52*24),IF($K$52="Dieselaggregraat",($G$52*24)*W51*Z52))</f>
        <v>0</v>
      </c>
      <c r="E52" s="7" t="s">
        <v>427</v>
      </c>
      <c r="G52" s="85">
        <f>Invoerscherm!E241</f>
        <v>0</v>
      </c>
      <c r="H52" s="95" t="str">
        <f>Invoerscherm!F241</f>
        <v>dagen</v>
      </c>
      <c r="I52" s="125" t="str">
        <f>Invoerscherm!E243</f>
        <v>&lt;&lt; maak keuze &gt;&gt;</v>
      </c>
      <c r="J52" s="126" t="s">
        <v>493</v>
      </c>
      <c r="K52" s="125" t="str">
        <f>Invoerscherm!I241</f>
        <v>&lt;&lt; maak keuze &gt;&gt;</v>
      </c>
      <c r="L52" s="11" t="s">
        <v>442</v>
      </c>
      <c r="M52" s="85"/>
      <c r="N52" s="95"/>
      <c r="O52" s="85"/>
      <c r="P52" s="95"/>
      <c r="Q52" s="86"/>
      <c r="R52" s="95"/>
      <c r="S52" s="86"/>
      <c r="T52" s="95"/>
      <c r="V52" s="6">
        <f>IF($I$52="5 m³/h",'Datablad 3'!C51,IF($I$52="10 m³/h",'Datablad 3'!C52,IF($I$52="15-25 m³/h",'Datablad 3'!C53,IF($I$52="50 m³/h",'Datablad 3'!C54,IF($I$52="100 m³/h",'Datablad 3'!C55,IF($I$52="200 m³/h",'Datablad 3'!C56,0))))))</f>
        <v>0</v>
      </c>
      <c r="W52" s="6">
        <f>IF($I$52="5 m³/h",'Datablad 3'!D51,IF($I$52="10 m³/h",'Datablad 3'!D52,IF($I$52="15-25 m³/h",'Datablad 3'!D53,IF($I$52="50 m³/h",'Datablad 3'!D54,IF($I$52="100 m³/h",'Datablad 3'!D55,IF($I$52="200 m³/h",'Datablad 3'!D56,0))))))</f>
        <v>0</v>
      </c>
      <c r="X52" s="35">
        <f>IF($I$52="5 m³/h",'Datablad 3'!E51,IF($I$52="10 m³/h",'Datablad 3'!E52,IF($I$52="15-25 m³/h",'Datablad 3'!E53,IF($I$52="50 m³/h",'Datablad 3'!E54,IF($I$52="100 m³/h",'Datablad 3'!E55,IF($I$52="200 m³/h",'Datablad 3'!E56,0))))))</f>
        <v>0</v>
      </c>
      <c r="Y52" s="6">
        <f>IF($K$52="Grijze stroom",'Datablad 1'!B29,IF($K$52="Groene stroom",'Datablad 1'!B30,IF($K$52="Directe windenergie",'Datablad 1'!B31,IF($K$52="Directe zone-energie",'Datablad 1'!B32,IF($K$52="Directe waterkracht",'Datablad 1'!B33,IF($K$52="Directe biomassa",'Datablad 1'!B34,IF($K$52="Dieselaggregraat",$Y$51,0)))))))</f>
        <v>0</v>
      </c>
      <c r="Z52" s="85">
        <f>Y52</f>
        <v>0</v>
      </c>
      <c r="AA52" s="35">
        <f>IF($K$52="Grijze stroom",'Datablad 1'!D29,IF($K$52="Groene stroom",'Datablad 1'!D30,IF($K$52="Directe windenergie",'Datablad 1'!D31,IF($K$52="Directe zone-energie",'Datablad 1'!D32,IF($K$52="Directe waterkracht",'Datablad 1'!D33,IF($K$52="Directe biomassa",'Datablad 1'!D34,IF($K$52="Dieselaggregraat",$Y$51,0)))))))</f>
        <v>0</v>
      </c>
    </row>
    <row r="53" spans="1:27" ht="12.75">
      <c r="A53" s="6" t="s">
        <v>333</v>
      </c>
      <c r="B53" s="6" t="s">
        <v>351</v>
      </c>
      <c r="C53" s="273" t="b">
        <f>IF(OR($K$53="Grijze stroom",$K$53="Groene stroom",$K$53="Directe windenergie",$K$53="Directe zonne-energie",$K$53="Directe waterkreacht",$K$53="Directe biomassa"),V53*Y53*($G$53*24),IF($K$53="Dieselaggregraat",($G$53*24)*V51*Y53))</f>
        <v>0</v>
      </c>
      <c r="D53" s="273" t="b">
        <f>IF(OR($K$53="Grijze stroom",$K$53="Groene stroom",$K$53="Directe windenergie",$K$53="Directe zonne-energie",$K$53="Directe waterkreacht",$K$53="Directe biomassa"),W53*Z53*($G$53*24),IF($K$53="Dieselaggregraat",($G$53*24)*W51*Z53))</f>
        <v>0</v>
      </c>
      <c r="E53" s="7" t="s">
        <v>427</v>
      </c>
      <c r="G53" s="6">
        <f>Invoerscherm!E247</f>
        <v>0</v>
      </c>
      <c r="H53" s="35" t="str">
        <f>Invoerscherm!F247</f>
        <v>dagen</v>
      </c>
      <c r="I53" s="82" t="str">
        <f>Invoerscherm!E249</f>
        <v>&lt;&lt; maak keuze &gt;&gt;</v>
      </c>
      <c r="J53" s="11" t="s">
        <v>493</v>
      </c>
      <c r="K53" s="82" t="str">
        <f>Invoerscherm!I247</f>
        <v>&lt;&lt; maak keuze &gt;&gt;</v>
      </c>
      <c r="L53" s="11" t="s">
        <v>442</v>
      </c>
      <c r="Q53" s="6"/>
      <c r="S53" s="6"/>
      <c r="V53" s="6">
        <f>IF($I$53="5 m³/h",'Datablad 3'!C41,IF($I$53="10 m³/h",'Datablad 3'!C42,IF($I$53="15-25 m³/h",'Datablad 3'!C43,IF($I$53="50 m³/h",'Datablad 3'!C44,0))))</f>
        <v>0</v>
      </c>
      <c r="W53" s="6">
        <f>IF($I$53="5 m³/h",'Datablad 3'!D41,IF($I$53="10 m³/h",'Datablad 3'!D42,IF($I$53="15-25 m³/h",'Datablad 3'!D43,IF($I$53="50 m³/h",'Datablad 3'!D44,0))))</f>
        <v>0</v>
      </c>
      <c r="X53" s="35">
        <f>IF($I$53="5 m³/h",'Datablad 3'!E41,IF($I$53="10 m³/h",'Datablad 3'!E42,IF($I$53="15-25 m³/h",'Datablad 3'!E43,IF($I$53="50 m³/h",'Datablad 3'!E44,0))))</f>
        <v>0</v>
      </c>
      <c r="Y53" s="6">
        <f>IF($K$53="Grijze stroom",'Datablad 1'!B29,IF($K$53="Groene stroom",'Datablad 1'!B30,IF($K$53="Directe windenergie",'Datablad 1'!B31,IF($K$53="Directe zone-energie",'Datablad 1'!B32,IF($K$53="Directe waterkracht",'Datablad 1'!B33,IF($K$53="Directe biomassa",'Datablad 1'!B34,IF($K$53="Dieselaggregraat",$Y$51,0)))))))</f>
        <v>0</v>
      </c>
      <c r="Z53" s="6">
        <f>Y53</f>
        <v>0</v>
      </c>
      <c r="AA53" s="35">
        <f>IF(OR($K$53="Grijze stroom",$K$53="Groene stroom",$K$53="Directe windenergie",$K$53="Directe zonne-energie",$K$53="Directe waterkreacht",$K$53="Directe biomassa"),"kg CO2 / kWh",IF($K$53="Dieselaggregraat","kg CO2 / L brandstof",0))</f>
        <v>0</v>
      </c>
    </row>
    <row r="54" spans="1:24" ht="12.75">
      <c r="A54" s="6" t="s">
        <v>444</v>
      </c>
      <c r="B54" s="6" t="s">
        <v>428</v>
      </c>
      <c r="C54" s="273">
        <f>$G$54*$I$54*$K$54*V54*1.5</f>
        <v>0</v>
      </c>
      <c r="D54" s="273">
        <f>$G$54*$I$54*$K$54*W54*1.5</f>
        <v>0</v>
      </c>
      <c r="E54" s="7" t="s">
        <v>427</v>
      </c>
      <c r="G54" s="6">
        <f>Invoerscherm!C256</f>
        <v>0</v>
      </c>
      <c r="H54" s="35" t="str">
        <f>Invoerscherm!D256</f>
        <v>km</v>
      </c>
      <c r="I54" s="6">
        <f>Invoerscherm!C260</f>
        <v>0</v>
      </c>
      <c r="J54" s="35" t="str">
        <f>Invoerscherm!D260</f>
        <v>aantal keer rijden</v>
      </c>
      <c r="K54" s="44">
        <f>Invoerscherm!C264</f>
        <v>0</v>
      </c>
      <c r="L54" s="106" t="str">
        <f>Invoerscherm!D264</f>
        <v>L brandstof / km</v>
      </c>
      <c r="M54" s="82" t="str">
        <f>Invoerscherm!C268</f>
        <v>&lt;&lt; maak keuze &gt;&gt;</v>
      </c>
      <c r="N54" s="11" t="s">
        <v>422</v>
      </c>
      <c r="V54" s="44">
        <f>IF($M$54="Diesel",'Datablad 1'!B2+'Datablad 1'!B11,IF($M$54="Benzine",'Datablad 1'!B3+'Datablad 1'!B12,IF($M$54="LPG",'Datablad 1'!B4+'Datablad 1'!B13,IF($M$54="Biodiesel",'Datablad 1'!B8+'Datablad 1'!B17,0))))</f>
        <v>0</v>
      </c>
      <c r="W54" s="44">
        <f>V54</f>
        <v>0</v>
      </c>
      <c r="X54" s="35" t="s">
        <v>496</v>
      </c>
    </row>
    <row r="55" ht="12.75">
      <c r="E55" s="7"/>
    </row>
    <row r="56" spans="1:4" ht="12.75">
      <c r="A56" s="120" t="s">
        <v>463</v>
      </c>
      <c r="B56" s="121"/>
      <c r="C56" s="274">
        <f>SUM(C43:C50)</f>
        <v>0</v>
      </c>
      <c r="D56" s="274">
        <f>SUM(D43:D50)</f>
        <v>0</v>
      </c>
    </row>
    <row r="57" spans="1:4" ht="12.75">
      <c r="A57" s="120" t="s">
        <v>333</v>
      </c>
      <c r="B57" s="121"/>
      <c r="C57" s="274">
        <f>SUM(C52:C53)</f>
        <v>0</v>
      </c>
      <c r="D57" s="274">
        <f>SUM(D52:D53)</f>
        <v>0</v>
      </c>
    </row>
    <row r="58" spans="1:4" ht="12.75">
      <c r="A58" s="122" t="s">
        <v>444</v>
      </c>
      <c r="B58" s="123"/>
      <c r="C58" s="274">
        <f>C54</f>
        <v>0</v>
      </c>
      <c r="D58" s="274">
        <f>D54</f>
        <v>0</v>
      </c>
    </row>
    <row r="59" spans="2:4" ht="12.75">
      <c r="B59" s="123"/>
      <c r="C59" s="276"/>
      <c r="D59" s="274"/>
    </row>
    <row r="60" ht="12.75"/>
    <row r="61" spans="3:39" s="42" customFormat="1" ht="12.75">
      <c r="C61" s="280"/>
      <c r="D61" s="280"/>
      <c r="H61" s="281"/>
      <c r="J61" s="281"/>
      <c r="L61" s="281"/>
      <c r="N61" s="281"/>
      <c r="P61" s="281"/>
      <c r="Q61" s="282"/>
      <c r="R61" s="281"/>
      <c r="S61" s="282"/>
      <c r="T61" s="281"/>
      <c r="X61" s="281"/>
      <c r="AA61" s="281"/>
      <c r="AD61" s="281"/>
      <c r="AG61" s="281"/>
      <c r="AJ61" s="281"/>
      <c r="AM61" s="281"/>
    </row>
    <row r="62" spans="1:39" ht="15.75">
      <c r="A62" s="87" t="s">
        <v>497</v>
      </c>
      <c r="G62" s="13" t="s">
        <v>227</v>
      </c>
      <c r="H62" s="9"/>
      <c r="I62" s="3"/>
      <c r="J62" s="9"/>
      <c r="K62" s="3"/>
      <c r="L62" s="9"/>
      <c r="M62" s="3"/>
      <c r="N62" s="9"/>
      <c r="O62" s="3"/>
      <c r="P62" s="9"/>
      <c r="Q62" s="9"/>
      <c r="R62" s="9"/>
      <c r="S62" s="9"/>
      <c r="T62" s="9"/>
      <c r="U62" s="34"/>
      <c r="V62" s="1" t="s">
        <v>228</v>
      </c>
      <c r="W62" s="1"/>
      <c r="X62" s="9"/>
      <c r="Y62" s="3"/>
      <c r="Z62" s="3"/>
      <c r="AA62" s="9"/>
      <c r="AB62" s="3"/>
      <c r="AC62" s="3"/>
      <c r="AD62" s="9"/>
      <c r="AE62" s="3"/>
      <c r="AF62" s="3"/>
      <c r="AG62" s="9"/>
      <c r="AH62" s="3"/>
      <c r="AI62" s="3"/>
      <c r="AJ62" s="9"/>
      <c r="AK62" s="3"/>
      <c r="AL62" s="3"/>
      <c r="AM62" s="9"/>
    </row>
    <row r="63" spans="7:38" ht="12.75">
      <c r="G63"/>
      <c r="I63"/>
      <c r="K63"/>
      <c r="M63"/>
      <c r="O63"/>
      <c r="Q63" s="35"/>
      <c r="S63" s="35"/>
      <c r="U63" s="36"/>
      <c r="V63"/>
      <c r="W63"/>
      <c r="Y63"/>
      <c r="Z63"/>
      <c r="AB63"/>
      <c r="AC63"/>
      <c r="AE63"/>
      <c r="AF63"/>
      <c r="AH63"/>
      <c r="AI63"/>
      <c r="AK63"/>
      <c r="AL63"/>
    </row>
    <row r="64" spans="1:39" ht="12.75">
      <c r="A64" s="14" t="s">
        <v>229</v>
      </c>
      <c r="B64" s="14" t="s">
        <v>230</v>
      </c>
      <c r="C64" s="272" t="s">
        <v>231</v>
      </c>
      <c r="D64" s="272" t="s">
        <v>232</v>
      </c>
      <c r="E64" s="37" t="s">
        <v>233</v>
      </c>
      <c r="G64" s="14" t="s">
        <v>234</v>
      </c>
      <c r="H64" s="37" t="s">
        <v>233</v>
      </c>
      <c r="I64" s="14" t="s">
        <v>235</v>
      </c>
      <c r="J64" s="37" t="s">
        <v>233</v>
      </c>
      <c r="K64" s="14" t="s">
        <v>236</v>
      </c>
      <c r="L64" s="37" t="s">
        <v>233</v>
      </c>
      <c r="M64" s="14" t="s">
        <v>237</v>
      </c>
      <c r="N64" s="37" t="s">
        <v>233</v>
      </c>
      <c r="O64" s="14" t="s">
        <v>238</v>
      </c>
      <c r="P64" s="37" t="s">
        <v>233</v>
      </c>
      <c r="Q64" s="14" t="s">
        <v>421</v>
      </c>
      <c r="R64" s="37" t="s">
        <v>233</v>
      </c>
      <c r="S64" s="14" t="s">
        <v>507</v>
      </c>
      <c r="T64" s="37" t="s">
        <v>233</v>
      </c>
      <c r="U64" s="38"/>
      <c r="V64" s="14" t="s">
        <v>239</v>
      </c>
      <c r="W64" s="14" t="s">
        <v>240</v>
      </c>
      <c r="X64" s="37" t="s">
        <v>233</v>
      </c>
      <c r="Y64" s="14" t="s">
        <v>241</v>
      </c>
      <c r="Z64" s="14" t="s">
        <v>242</v>
      </c>
      <c r="AA64" s="37" t="s">
        <v>233</v>
      </c>
      <c r="AB64" s="14" t="s">
        <v>243</v>
      </c>
      <c r="AC64" s="14" t="s">
        <v>244</v>
      </c>
      <c r="AD64" s="37" t="s">
        <v>233</v>
      </c>
      <c r="AE64" s="14" t="s">
        <v>245</v>
      </c>
      <c r="AF64" s="14" t="s">
        <v>246</v>
      </c>
      <c r="AG64" s="37" t="s">
        <v>233</v>
      </c>
      <c r="AH64" s="14" t="s">
        <v>247</v>
      </c>
      <c r="AI64" s="14" t="s">
        <v>248</v>
      </c>
      <c r="AJ64" s="37" t="s">
        <v>233</v>
      </c>
      <c r="AK64" s="14" t="s">
        <v>249</v>
      </c>
      <c r="AL64" s="14" t="s">
        <v>250</v>
      </c>
      <c r="AM64" s="37" t="s">
        <v>233</v>
      </c>
    </row>
    <row r="65" spans="1:27" ht="12.75">
      <c r="A65" s="6" t="s">
        <v>357</v>
      </c>
      <c r="B65" s="6" t="s">
        <v>358</v>
      </c>
      <c r="C65" s="273">
        <f>V65*($G$65*24)*Y65</f>
        <v>0</v>
      </c>
      <c r="D65" s="273">
        <f>W65*($G$65*24)*Z65</f>
        <v>0</v>
      </c>
      <c r="E65" s="7" t="s">
        <v>427</v>
      </c>
      <c r="G65" s="6">
        <f>Invoerscherm!E278</f>
        <v>0</v>
      </c>
      <c r="H65" s="35" t="str">
        <f>Invoerscherm!F278</f>
        <v>dagen</v>
      </c>
      <c r="I65" s="82" t="str">
        <f>Invoerscherm!E280</f>
        <v>&lt;&lt; maak keuze &gt;&gt;</v>
      </c>
      <c r="J65" s="11" t="s">
        <v>501</v>
      </c>
      <c r="K65" s="82" t="str">
        <f>Invoerscherm!H278</f>
        <v>&lt;&lt; maak keuze &gt;&gt;</v>
      </c>
      <c r="L65" s="11" t="s">
        <v>442</v>
      </c>
      <c r="V65" s="6">
        <f>IF($I$65="5-15 m³/h",'Datablad 3'!C36,IF($I$65="20 m³/h",'Datablad 3'!C37,IF($I$65="25 m³/h",'Datablad 3'!C38,IF($I$65="50 m³/h",'Datablad 3'!C39,0))))</f>
        <v>0</v>
      </c>
      <c r="W65" s="6">
        <f>IF($I$65="5-15 m³/h",'Datablad 3'!D36,IF($I$65="20 m³/h",'Datablad 3'!D37,IF($I$65="25 m³/h",'Datablad 3'!D38,IF($I$65="50 m³/h",'Datablad 3'!D39,0))))</f>
        <v>0</v>
      </c>
      <c r="X65" s="35">
        <f>IF($I$65="5-15 m³/h",'Datablad 3'!E36,IF($I$65="20 m³/h",'Datablad 3'!E37,IF($I$65="25 m³/h",'Datablad 3'!E38,IF($I$65="50 m³/h",'Datablad 3'!E39,0))))</f>
        <v>0</v>
      </c>
      <c r="Y65" s="6">
        <f>IF($K$65="Grijze stroom",'Datablad 1'!B29,IF($K$65="Groene stroom",'Datablad 1'!B30,IF($K$65="Directe windenergie",'Datablad 1'!B31,IF($K$65="Directe zonne-energie",'Datablad 1'!B32,IF($K$65="Directe waterkracht",'Datablad 1'!B33,IF($K$65="Directe biomassa",'Datablad 1'!B34,0))))))</f>
        <v>0</v>
      </c>
      <c r="Z65" s="6">
        <f>Y65</f>
        <v>0</v>
      </c>
      <c r="AA65" s="35">
        <f>IF($K$65="Grijze stroom",'Datablad 1'!C29,IF($K$65="Groene stroom",'Datablad 1'!C30,IF($K$65="Directe windenergie",'Datablad 1'!C31,IF($K$65="Directe zonne-energie",'Datablad 1'!C32,IF($K$65="Directe waterkracht",'Datablad 1'!C33,IF($K$65="Directe biomassa",'Datablad 1'!C34,0))))))</f>
        <v>0</v>
      </c>
    </row>
    <row r="66" spans="1:30" ht="12.75">
      <c r="A66" s="6" t="s">
        <v>357</v>
      </c>
      <c r="B66" s="6" t="s">
        <v>363</v>
      </c>
      <c r="C66" s="273">
        <f>($G$66*24)*V66*AB66+($G$66*24)*Y66*AB66</f>
        <v>0</v>
      </c>
      <c r="D66" s="273">
        <f>($G$66*24)*W66*AC66+($G$66*24)*Z66*AC66</f>
        <v>0</v>
      </c>
      <c r="E66" s="7" t="s">
        <v>427</v>
      </c>
      <c r="G66" s="6">
        <f>Invoerscherm!E284</f>
        <v>0</v>
      </c>
      <c r="H66" s="35" t="str">
        <f>Invoerscherm!F284</f>
        <v>dagen</v>
      </c>
      <c r="I66" s="82" t="str">
        <f>Invoerscherm!E286</f>
        <v>&lt;&lt; maak keuze &gt;&gt;</v>
      </c>
      <c r="J66" s="11" t="s">
        <v>501</v>
      </c>
      <c r="K66" s="5" t="str">
        <f>I66</f>
        <v>&lt;&lt; maak keuze &gt;&gt;</v>
      </c>
      <c r="L66" s="104" t="s">
        <v>502</v>
      </c>
      <c r="M66" s="82" t="str">
        <f>Invoerscherm!H284</f>
        <v>&lt;&lt; maak keuze &gt;&gt;</v>
      </c>
      <c r="N66" s="11" t="s">
        <v>442</v>
      </c>
      <c r="V66" s="6">
        <f>IF($I$66="5 m³/h",'Datablad 3'!C41,IF($I$66="10 m³/h",'Datablad 3'!C42,IF($I$66="15-25 m³/h",'Datablad 3'!C43,IF($I$66="50 m³/h",'Datablad 3'!C44,0))))</f>
        <v>0</v>
      </c>
      <c r="W66" s="6">
        <f>IF($I$66="5 m³/h",'Datablad 3'!D41,IF($I$66="10 m³/h",'Datablad 3'!D42,IF($I$66="15-25 m³/h",'Datablad 3'!D43,IF($I$66="50 m³/h",'Datablad 3'!D44,0))))</f>
        <v>0</v>
      </c>
      <c r="X66" s="35">
        <f>IF($I$66="5 m³/h",'Datablad 3'!E41,IF($I$66="10 m³/h",'Datablad 3'!E42,IF($I$66="15-25 m³/h",'Datablad 3'!E43,IF($I$66="50 m³/h",'Datablad 3'!E44,0))))</f>
        <v>0</v>
      </c>
      <c r="Y66" s="6">
        <f>IF($K$66="5 m³/h",'Datablad 3'!C46,IF($K$66="10 m³/h",'Datablad 3'!C47,IF($K$66="15-25 m³/h",'Datablad 3'!C48,IF($K$66="50 m³/h",'Datablad 3'!C49,0))))</f>
        <v>0</v>
      </c>
      <c r="Z66" s="6">
        <f>IF($K$66="5 m³/h",'Datablad 3'!D46,IF($K$66="10 m³/h",'Datablad 3'!D47,IF($K$66="15-25 m³/h",'Datablad 3'!D48,IF($K$66="50 m³/h",'Datablad 3'!D49,0))))</f>
        <v>0</v>
      </c>
      <c r="AA66" s="7">
        <f>IF($K$66="5 m³/h",'Datablad 3'!E46,IF($K$66="10 m³/h",'Datablad 3'!E47,IF($K$66="15-25 m³/h",'Datablad 3'!E48,IF($K$66="50 m³/h",'Datablad 3'!E49,0))))</f>
        <v>0</v>
      </c>
      <c r="AB66" s="6">
        <f>IF($M$66="Grijze stroom",'Datablad 1'!B29,IF($M$66="Groene stroom",'Datablad 1'!B30,IF($M$66="Directe windenergie",'Datablad 1'!B31,IF($M$66="Directe zonne-energie",'Datablad 1'!B32,IF($M$66="Directe waterkracht",'Datablad 1'!B33,IF($M$66="Directe biomassa",'Datablad 1'!B34,0))))))</f>
        <v>0</v>
      </c>
      <c r="AC66" s="6">
        <f>AB66</f>
        <v>0</v>
      </c>
      <c r="AD66" s="35">
        <f>IF($M$66="Grijze stroom",'Datablad 1'!C29,IF($M$66="Groene stroom",'Datablad 1'!C30,IF($M$66="Directe windenergie",'Datablad 1'!C31,IF($M$66="Directe zonne-energie",'Datablad 1'!C32,IF($M$66="Directe waterkracht",'Datablad 1'!C33,IF($M$66="Directe biomassa",'Datablad 1'!C34,0))))))</f>
        <v>0</v>
      </c>
    </row>
    <row r="67" spans="1:27" ht="12.75">
      <c r="A67" s="6" t="s">
        <v>357</v>
      </c>
      <c r="B67" s="6" t="s">
        <v>503</v>
      </c>
      <c r="C67" s="289">
        <f>((($G$67*24)*$I$67)/1000)*V67*Y67</f>
        <v>0</v>
      </c>
      <c r="D67" s="289">
        <f>((($G$67*24)*$I$67)/1000)*W67*Z67</f>
        <v>0</v>
      </c>
      <c r="E67" s="7" t="s">
        <v>427</v>
      </c>
      <c r="G67" s="6">
        <f>Invoerscherm!E290</f>
        <v>0</v>
      </c>
      <c r="H67" s="35" t="str">
        <f>Invoerscherm!F290</f>
        <v>dagen</v>
      </c>
      <c r="I67" s="5">
        <f>IF(I66="5 m³/h",5*80,IF(I66="10 m³/h",10*80,IF(I66="15-25 m³/h",20*80,IF(I66="50 m³/h",50*80,0))))</f>
        <v>0</v>
      </c>
      <c r="J67" s="104" t="s">
        <v>633</v>
      </c>
      <c r="K67" s="82" t="str">
        <f>Invoerscherm!H290</f>
        <v>&lt;&lt; maak keuze &gt;&gt;</v>
      </c>
      <c r="L67" s="11" t="s">
        <v>442</v>
      </c>
      <c r="V67" s="6">
        <f>'Datablad 3'!C116</f>
        <v>0.5</v>
      </c>
      <c r="W67" s="6">
        <f>'Datablad 3'!D116</f>
        <v>0.5</v>
      </c>
      <c r="X67" s="35" t="str">
        <f>'Datablad 3'!E116</f>
        <v>kWh / 1000 m3 lucht</v>
      </c>
      <c r="Y67" s="6">
        <f>IF($K$67="Grijze stroom",'Datablad 1'!B29,IF($K$67="Groene stroom",'Datablad 1'!B30,IF($K$67="Directe windenergie",'Datablad 1'!B31,IF($K$67="Directe zonne-energie",'Datablad 1'!B32,IF($K$67="Directe waterkracht",'Datablad 1'!B33,IF($K$67="Directe biomassa",'Datablad 1'!B34,0))))))</f>
        <v>0</v>
      </c>
      <c r="Z67" s="6">
        <f aca="true" t="shared" si="5" ref="Z67:Z73">Y67</f>
        <v>0</v>
      </c>
      <c r="AA67" s="35">
        <f>IF($K$67="Grijze stroom",'Datablad 1'!C29,IF($K$67="Groene stroom",'Datablad 1'!C30,IF($K$67="Directe windenergie",'Datablad 1'!C31,IF($K$67="Directe zonne-energie",'Datablad 1'!C32,IF($K$67="Directe waterkracht",'Datablad 1'!C33,IF($K$67="Directe biomassa",'Datablad 1'!C34,0))))))</f>
        <v>0</v>
      </c>
    </row>
    <row r="68" spans="1:27" ht="12.75">
      <c r="A68" s="6" t="s">
        <v>357</v>
      </c>
      <c r="B68" s="6" t="s">
        <v>808</v>
      </c>
      <c r="C68" s="289">
        <f>((($G$68*24)*$I$68)*V68*Y68)</f>
        <v>0</v>
      </c>
      <c r="D68" s="289">
        <f>((($G$68*24)*$I$68)*W68*Z68)</f>
        <v>0</v>
      </c>
      <c r="E68" s="7" t="s">
        <v>427</v>
      </c>
      <c r="G68" s="6">
        <f>Invoerscherm!K294</f>
        <v>0</v>
      </c>
      <c r="H68" s="6" t="str">
        <f>Invoerscherm!L294</f>
        <v>dagen</v>
      </c>
      <c r="I68" s="5">
        <f>IF(N68="5 m³/h",5,IF(N68="10 m³/h",10,IF(N68="15-25 m³/h",20,IF(N68="50 m³/h",50,0))))</f>
        <v>0</v>
      </c>
      <c r="J68" s="104" t="s">
        <v>633</v>
      </c>
      <c r="K68" s="82" t="str">
        <f>Invoerscherm!H294</f>
        <v>&lt;&lt; maak keuze &gt;&gt;</v>
      </c>
      <c r="L68" s="11" t="s">
        <v>442</v>
      </c>
      <c r="N68" s="136" t="str">
        <f>Invoerscherm!E294</f>
        <v>&lt;&lt; maak keuze &gt;&gt;</v>
      </c>
      <c r="O68" s="11" t="s">
        <v>501</v>
      </c>
      <c r="V68" s="6">
        <f>IF($N$68="5 m³/h",'Datablad 3'!C41,IF($N$68="10 m³/h",'Datablad 3'!C42,IF($N$68="15-25 m³/h",'Datablad 3'!C43,IF($N$68="50 m³/h",'Datablad 3'!C44,0))))</f>
        <v>0</v>
      </c>
      <c r="W68" s="6">
        <f>IF($N$68="5 m³/h",'Datablad 3'!D41,IF($N$68="10 m³/h",'Datablad 3'!D42,IF($N$68="15-25 m³/h",'Datablad 3'!D43,IF($N$68="50 m³/h",'Datablad 3'!D44,0))))</f>
        <v>0</v>
      </c>
      <c r="X68" s="6">
        <f>IF($N$68="5 m³/h",'Datablad 3'!E41,IF($N$68="10 m³/h",'Datablad 3'!E42,IF($N$68="15-25 m³/h",'Datablad 3'!E43,IF($N$68="50 m³/h",'Datablad 3'!E44,0))))</f>
        <v>0</v>
      </c>
      <c r="Y68" s="6">
        <f>IF($K$68="Grijze stroom",'Datablad 1'!B29,IF($K$68="Groene stroom",'Datablad 1'!B30,IF($K$68="Directe windenergie",'Datablad 1'!B31,IF($K$68="Directe zonne-energie",'Datablad 1'!B32,IF($K$68="Directe waterkracht",'Datablad 1'!B33,IF($K$68="Directe biomassa",'Datablad 1'!B34,0))))))</f>
        <v>0</v>
      </c>
      <c r="Z68" s="6">
        <f>Y68</f>
        <v>0</v>
      </c>
      <c r="AA68" s="6">
        <f>IF($K$68="Grijze stroom",'Datablad 1'!C29,IF($K$68="Groene stroom",'Datablad 1'!C30,IF($K$68="Directe windenergie",'Datablad 1'!C31,IF($K$68="Directe zonne-energie",'Datablad 1'!C32,IF($K$68="Directe waterkracht",'Datablad 1'!C33,IF($K$68="Directe biomassa",'Datablad 1'!C34,0))))))</f>
        <v>0</v>
      </c>
    </row>
    <row r="69" spans="1:27" ht="12.75">
      <c r="A69" s="6" t="s">
        <v>357</v>
      </c>
      <c r="B69" s="6" t="s">
        <v>159</v>
      </c>
      <c r="C69" s="273">
        <f>(($G$69*24)*$M$69)*V69*Y69</f>
        <v>0</v>
      </c>
      <c r="D69" s="273">
        <f>(($G$69*24)*$M$69)*W69*Z69</f>
        <v>0</v>
      </c>
      <c r="E69" s="7" t="s">
        <v>427</v>
      </c>
      <c r="G69" s="6">
        <f>Invoerscherm!E298</f>
        <v>0</v>
      </c>
      <c r="H69" s="35" t="str">
        <f>Invoerscherm!F298</f>
        <v>dagen</v>
      </c>
      <c r="I69" s="82" t="str">
        <f>Invoerscherm!E300</f>
        <v>&lt;&lt; maak keuze &gt;&gt;</v>
      </c>
      <c r="J69" s="11" t="s">
        <v>501</v>
      </c>
      <c r="K69" s="82" t="str">
        <f>Invoerscherm!H298</f>
        <v>&lt;&lt; maak keuze &gt;&gt;</v>
      </c>
      <c r="L69" s="11" t="s">
        <v>442</v>
      </c>
      <c r="M69" s="6">
        <f>IF(I69="5 m³/h",5,IF(I69="10 m³/h",10,IF(I69="15-25 m³/h",20,IF(I69="50 m³/h",50,0))))</f>
        <v>0</v>
      </c>
      <c r="N69" s="35" t="s">
        <v>524</v>
      </c>
      <c r="V69" s="6">
        <f>'Datablad 3'!C83</f>
        <v>0.05</v>
      </c>
      <c r="W69" s="6">
        <f>'Datablad 3'!D83</f>
        <v>0.1</v>
      </c>
      <c r="X69" s="35" t="str">
        <f>'Datablad 3'!E83</f>
        <v>kWh / m3 grondwater</v>
      </c>
      <c r="Y69" s="6">
        <f>IF($K$69="Grijze stroom",'Datablad 1'!B29,IF($K$69="Groene stroom",'Datablad 1'!B30,IF($K$69="Directe windenergie",'Datablad 1'!B31,IF($K$69="Directe zonne-energie",'Datablad 1'!B32,IF($K$69="Directe waterkracht",'Datablad 1'!B33,IF($K$69="Directe biomassa",'Datablad 1'!B34,0))))))</f>
        <v>0</v>
      </c>
      <c r="Z69" s="6">
        <f t="shared" si="5"/>
        <v>0</v>
      </c>
      <c r="AA69" s="35">
        <f>IF($K$69="Grijze stroom",'Datablad 1'!C29,IF($K$69="Groene stroom",'Datablad 1'!C30,IF($K$69="Directe windenergie",'Datablad 1'!C31,IF($K$69="Directe zonne-energie",'Datablad 1'!C32,IF($K$69="Directe waterkracht",'Datablad 1'!C33,IF($K$69="Directe biomassa",'Datablad 1'!C34,0))))))</f>
        <v>0</v>
      </c>
    </row>
    <row r="70" spans="1:27" ht="12.75">
      <c r="A70" s="6" t="s">
        <v>357</v>
      </c>
      <c r="B70" s="6" t="s">
        <v>371</v>
      </c>
      <c r="C70" s="273">
        <f>($G$70*24)*V70*Y70</f>
        <v>0</v>
      </c>
      <c r="D70" s="273">
        <f>($G$70*24)*W70*Z70</f>
        <v>0</v>
      </c>
      <c r="E70" s="7" t="s">
        <v>427</v>
      </c>
      <c r="G70" s="6">
        <f>Invoerscherm!E304</f>
        <v>0</v>
      </c>
      <c r="H70" s="35" t="str">
        <f>Invoerscherm!F304</f>
        <v>dagen</v>
      </c>
      <c r="I70" s="82" t="str">
        <f>Invoerscherm!E306</f>
        <v>&lt;&lt; maak keuze &gt;&gt;</v>
      </c>
      <c r="J70" s="11" t="s">
        <v>501</v>
      </c>
      <c r="K70" s="82" t="str">
        <f>Invoerscherm!H304</f>
        <v>&lt;&lt; maak keuze &gt;&gt;</v>
      </c>
      <c r="L70" s="11" t="s">
        <v>442</v>
      </c>
      <c r="V70" s="6">
        <f>IF($I$70="5 m³/h",'Datablad 3'!C86,IF($I$70="10 m³/h",'Datablad 3'!C87,IF($I$70="15-25 m³/h",'Datablad 3'!C88,IF($I$70="50 m³/h",'Datablad 3'!C89,0))))</f>
        <v>0</v>
      </c>
      <c r="W70" s="6">
        <f>IF($I$70="5 m³/h",'Datablad 3'!D86,IF($I$70="10 m³/h",'Datablad 3'!D87,IF($I$70="15-25 m³/h",'Datablad 3'!D88,IF($I$70="50 m³/h",'Datablad 3'!D89,0))))</f>
        <v>0</v>
      </c>
      <c r="X70" s="35">
        <f>IF($I$70="5 m³/h",'Datablad 3'!E86,IF($I$70="10 m³/h",'Datablad 3'!E87,IF($I$70="15-25 m³/h",'Datablad 3'!E88,IF($I$70="50 m³/h",'Datablad 3'!E89,0))))</f>
        <v>0</v>
      </c>
      <c r="Y70" s="6">
        <f>IF($K$70="Grijze stroom",'Datablad 1'!B29,IF($K$70="Groene stroom",'Datablad 1'!B30,IF($K$70="Directe windenergie",'Datablad 1'!B31,IF($K$70="Directe zonne-energie",'Datablad 1'!B32,IF($K$70="Directe waterkracht",'Datablad 1'!B33,IF($K$70="Directe biomassa",'Datablad 1'!B34,0))))))</f>
        <v>0</v>
      </c>
      <c r="Z70" s="6">
        <f t="shared" si="5"/>
        <v>0</v>
      </c>
      <c r="AA70" s="35">
        <f>IF($K$70="Grijze stroom",'Datablad 1'!C29,IF($K$70="Groene stroom",'Datablad 1'!C30,IF($K$70="Directe windenergie",'Datablad 1'!C31,IF($K$70="Directe zonne-energie",'Datablad 1'!C32,IF($K$70="Directe waterkracht",'Datablad 1'!C33,IF($K$70="Directe biomassa",'Datablad 1'!C34,0))))))</f>
        <v>0</v>
      </c>
    </row>
    <row r="71" spans="1:27" ht="12.75">
      <c r="A71" s="6" t="s">
        <v>357</v>
      </c>
      <c r="B71" s="6" t="s">
        <v>504</v>
      </c>
      <c r="C71" s="273">
        <f>$G$71*V71*Y71</f>
        <v>0</v>
      </c>
      <c r="D71" s="273">
        <f>$G$71*W71*Z71</f>
        <v>0</v>
      </c>
      <c r="E71" s="7" t="s">
        <v>427</v>
      </c>
      <c r="G71" s="6">
        <f>Invoerscherm!F310</f>
        <v>0</v>
      </c>
      <c r="H71" s="35" t="str">
        <f>Invoerscherm!G310</f>
        <v>m³</v>
      </c>
      <c r="I71" s="82" t="str">
        <f>Invoerscherm!H310</f>
        <v>&lt;&lt; maak keuze &gt;&gt;</v>
      </c>
      <c r="J71" s="11" t="s">
        <v>442</v>
      </c>
      <c r="V71" s="6">
        <f>'Datablad 3'!C82</f>
        <v>0.5</v>
      </c>
      <c r="W71" s="6">
        <f>'Datablad 3'!D82</f>
        <v>0.75</v>
      </c>
      <c r="X71" s="35" t="str">
        <f>'Datablad 3'!E82</f>
        <v>kWh / m3 grondwater</v>
      </c>
      <c r="Y71" s="6">
        <f>IF($I$71="Grijze stroom",'Datablad 1'!B29,IF($I$71="Groene stroom",'Datablad 1'!B30,IF($I$71="Directe windenergie",'Datablad 1'!B31,IF($I$71="Directe zonne-energie",'Datablad 1'!B32,IF($I$71="Directe waterkracht",'Datablad 1'!B33,IF($I$71="Directe biomassa",'Datablad 1'!B34,0))))))</f>
        <v>0</v>
      </c>
      <c r="Z71" s="6">
        <f t="shared" si="5"/>
        <v>0</v>
      </c>
      <c r="AA71" s="35">
        <f>IF($I$71="Grijze stroom",'Datablad 1'!C29,IF($I$71="Groene stroom",'Datablad 1'!C30,IF($I$71="Directe windenergie",'Datablad 1'!C31,IF($I$71="Directe zonne-energie",'Datablad 1'!C32,IF($I$71="Directe waterkracht",'Datablad 1'!C33,IF($I$71="Directe biomassa",'Datablad 1'!C34,0))))))</f>
        <v>0</v>
      </c>
    </row>
    <row r="72" spans="1:27" ht="12.75">
      <c r="A72" s="6" t="s">
        <v>357</v>
      </c>
      <c r="B72" s="6" t="s">
        <v>160</v>
      </c>
      <c r="C72" s="273">
        <f>$G$72*V72*Y72</f>
        <v>0</v>
      </c>
      <c r="D72" s="273">
        <f>$G$72*W72*Z72</f>
        <v>0</v>
      </c>
      <c r="E72" s="7" t="s">
        <v>427</v>
      </c>
      <c r="G72" s="6">
        <f>Invoerscherm!F314</f>
        <v>0</v>
      </c>
      <c r="H72" s="35" t="str">
        <f>Invoerscherm!G314</f>
        <v>m³</v>
      </c>
      <c r="I72" s="82" t="str">
        <f>Invoerscherm!H314</f>
        <v>&lt;&lt; maak keuze &gt;&gt;</v>
      </c>
      <c r="J72" s="11" t="s">
        <v>442</v>
      </c>
      <c r="V72" s="6">
        <f>'Datablad 3'!C84</f>
        <v>0.088</v>
      </c>
      <c r="W72" s="6">
        <f>'Datablad 3'!D84</f>
        <v>0.12</v>
      </c>
      <c r="X72" s="35" t="str">
        <f>'Datablad 3'!E84</f>
        <v>kWh / m3 grondwater</v>
      </c>
      <c r="Y72" s="6">
        <f>IF($I$72="Grijze stroom",'Datablad 1'!B29,IF($I$72="Groene stroom",'Datablad 1'!B30,IF($I$72="Directe windenergie",'Datablad 1'!B31,IF($I$72="Directe zonne-energie",'Datablad 1'!B32,IF($I$72="Directe waterkracht",'Datablad 1'!B33,IF($I$72="Directe biomassa",'Datablad 1'!B34,0))))))</f>
        <v>0</v>
      </c>
      <c r="Z72" s="6">
        <f t="shared" si="5"/>
        <v>0</v>
      </c>
      <c r="AA72" s="35">
        <f>IF($I$72="Grijze stroom",'Datablad 1'!C29,IF($I$72="Groene stroom",'Datablad 1'!C30,IF($I$72="Directe windenergie",'Datablad 1'!C31,IF($I$72="Directe zonne-energie",'Datablad 1'!C32,IF($I$72="Directe waterkracht",'Datablad 1'!C33,IF($I$72="Directe biomassa",'Datablad 1'!C34,0))))))</f>
        <v>0</v>
      </c>
    </row>
    <row r="73" spans="1:27" ht="12.75">
      <c r="A73" s="6" t="s">
        <v>357</v>
      </c>
      <c r="B73" s="6" t="s">
        <v>161</v>
      </c>
      <c r="C73" s="273">
        <f>$G$73*V73*Y73</f>
        <v>0</v>
      </c>
      <c r="D73" s="273">
        <f>$G$73*W73*Z73</f>
        <v>0</v>
      </c>
      <c r="E73" s="7" t="s">
        <v>427</v>
      </c>
      <c r="G73" s="6">
        <f>Invoerscherm!F318</f>
        <v>0</v>
      </c>
      <c r="H73" s="35" t="str">
        <f>Invoerscherm!G318</f>
        <v>m³</v>
      </c>
      <c r="I73" s="82" t="str">
        <f>Invoerscherm!H318</f>
        <v>&lt;&lt; maak keuze &gt;&gt;</v>
      </c>
      <c r="J73" s="11" t="s">
        <v>442</v>
      </c>
      <c r="V73" s="6">
        <f>'Datablad 3'!C85</f>
        <v>1</v>
      </c>
      <c r="W73" s="6">
        <f>'Datablad 3'!D85</f>
        <v>10</v>
      </c>
      <c r="X73" s="35" t="str">
        <f>'Datablad 3'!E85</f>
        <v>kWh / m3 grondwater</v>
      </c>
      <c r="Y73" s="6">
        <f>IF($I$73="Grijze stroom",'Datablad 1'!B29,IF($I$73="Groene stroom",'Datablad 1'!B30,IF($I$73="Directe windenergie",'Datablad 1'!B31,IF($I$73="Directe zonne-energie",'Datablad 1'!B32,IF($I$73="Directe waterkracht",'Datablad 1'!B33,IF($I$73="Directe biomassa",'Datablad 1'!B34,0))))))</f>
        <v>0</v>
      </c>
      <c r="Z73" s="6">
        <f t="shared" si="5"/>
        <v>0</v>
      </c>
      <c r="AA73" s="35">
        <f>IF($I$73="Grijze stroom",'Datablad 1'!C29,IF($I$73="Groene stroom",'Datablad 1'!C30,IF($I$73="Directe windenergie",'Datablad 1'!C31,IF($I$73="Directe zonne-energie",'Datablad 1'!C32,IF($I$73="Directe waterkracht",'Datablad 1'!C33,IF($I$73="Directe biomassa",'Datablad 1'!C34,0))))))</f>
        <v>0</v>
      </c>
    </row>
    <row r="74" spans="1:24" ht="12.75">
      <c r="A74" s="6" t="s">
        <v>526</v>
      </c>
      <c r="B74" s="6" t="s">
        <v>379</v>
      </c>
      <c r="C74" s="287">
        <f>$G$74*V74</f>
        <v>0</v>
      </c>
      <c r="D74" s="287">
        <f>$G$74*W74</f>
        <v>0</v>
      </c>
      <c r="E74" s="7" t="s">
        <v>427</v>
      </c>
      <c r="G74" s="6">
        <f>Invoerscherm!F323</f>
        <v>0</v>
      </c>
      <c r="H74" s="35" t="str">
        <f>Invoerscherm!G323</f>
        <v>kg</v>
      </c>
      <c r="V74" s="6">
        <f>'Datablad 3'!C118+'Datablad 3'!C119</f>
        <v>0.1</v>
      </c>
      <c r="W74" s="6">
        <f>'Datablad 3'!D118+'Datablad 3'!D119</f>
        <v>0.1</v>
      </c>
      <c r="X74" s="11" t="s">
        <v>729</v>
      </c>
    </row>
    <row r="75" spans="1:24" ht="12.75">
      <c r="A75" s="6" t="s">
        <v>526</v>
      </c>
      <c r="B75" s="6" t="s">
        <v>172</v>
      </c>
      <c r="C75" s="273">
        <f>$G$75*V75</f>
        <v>0</v>
      </c>
      <c r="D75" s="273">
        <f>$G$75*W75</f>
        <v>0</v>
      </c>
      <c r="E75" s="7" t="s">
        <v>427</v>
      </c>
      <c r="G75" s="6">
        <f>Invoerscherm!F325</f>
        <v>0</v>
      </c>
      <c r="H75" s="35" t="str">
        <f>Invoerscherm!G325</f>
        <v>kg</v>
      </c>
      <c r="V75" s="6">
        <f>'Datablad 3'!C97</f>
        <v>1.138806</v>
      </c>
      <c r="W75" s="6">
        <f>'Datablad 3'!D97</f>
        <v>1.138806</v>
      </c>
      <c r="X75" s="35" t="str">
        <f>'Datablad 3'!E97</f>
        <v>kg CO2 / kg NaOH</v>
      </c>
    </row>
    <row r="76" spans="1:24" ht="12.75">
      <c r="A76" s="6" t="s">
        <v>526</v>
      </c>
      <c r="B76" s="6" t="s">
        <v>174</v>
      </c>
      <c r="C76" s="273">
        <f>$G$76*V76</f>
        <v>0</v>
      </c>
      <c r="D76" s="273">
        <f>$G$76*W76</f>
        <v>0</v>
      </c>
      <c r="E76" s="7" t="s">
        <v>427</v>
      </c>
      <c r="G76" s="6">
        <f>Invoerscherm!F327</f>
        <v>0</v>
      </c>
      <c r="H76" s="35" t="str">
        <f>Invoerscherm!G327</f>
        <v>kg</v>
      </c>
      <c r="V76" s="6">
        <f>'Datablad 3'!C98</f>
        <v>1.346201</v>
      </c>
      <c r="W76" s="6">
        <f>'Datablad 3'!D98</f>
        <v>1.346201</v>
      </c>
      <c r="X76" s="35" t="str">
        <f>'Datablad 3'!E98</f>
        <v>kg CO2 / kg fosforzuur</v>
      </c>
    </row>
    <row r="77" spans="1:24" ht="12.75">
      <c r="A77" s="6" t="s">
        <v>526</v>
      </c>
      <c r="B77" s="6" t="s">
        <v>176</v>
      </c>
      <c r="C77" s="273">
        <f>$G$77*V77</f>
        <v>0</v>
      </c>
      <c r="D77" s="273">
        <f>$G$77*W77</f>
        <v>0</v>
      </c>
      <c r="E77" s="7" t="s">
        <v>427</v>
      </c>
      <c r="G77" s="6">
        <f>Invoerscherm!F329</f>
        <v>0</v>
      </c>
      <c r="H77" s="35" t="str">
        <f>Invoerscherm!G329</f>
        <v>kg</v>
      </c>
      <c r="V77" s="6">
        <f>'Datablad 3'!C99</f>
        <v>0.764726</v>
      </c>
      <c r="W77" s="6">
        <f>'Datablad 3'!D99</f>
        <v>0.764726</v>
      </c>
      <c r="X77" s="35" t="str">
        <f>'Datablad 3'!E99</f>
        <v>kg CO2 / kg zoutzuur</v>
      </c>
    </row>
    <row r="78" spans="1:24" ht="12.75">
      <c r="A78" s="6" t="s">
        <v>526</v>
      </c>
      <c r="B78" s="6" t="s">
        <v>178</v>
      </c>
      <c r="C78" s="273">
        <f>$G$78*V78</f>
        <v>0</v>
      </c>
      <c r="D78" s="273">
        <f>$G$78*W78</f>
        <v>0</v>
      </c>
      <c r="E78" s="7" t="s">
        <v>427</v>
      </c>
      <c r="G78" s="6">
        <f>Invoerscherm!F331</f>
        <v>0</v>
      </c>
      <c r="H78" s="35" t="str">
        <f>Invoerscherm!G331</f>
        <v>kg</v>
      </c>
      <c r="V78" s="6">
        <f>'Datablad 3'!C100</f>
        <v>0.114417</v>
      </c>
      <c r="W78" s="6">
        <f>'Datablad 3'!D100</f>
        <v>0.114417</v>
      </c>
      <c r="X78" s="35" t="str">
        <f>'Datablad 3'!E100</f>
        <v>kg CO2 / kg ijzersulfaat</v>
      </c>
    </row>
    <row r="79" spans="1:24" ht="12.75">
      <c r="A79" s="6" t="s">
        <v>526</v>
      </c>
      <c r="B79" s="6" t="s">
        <v>180</v>
      </c>
      <c r="C79" s="273">
        <f>$G$79*V79</f>
        <v>0</v>
      </c>
      <c r="D79" s="273">
        <f>$G$79*W79</f>
        <v>0</v>
      </c>
      <c r="E79" s="7" t="s">
        <v>427</v>
      </c>
      <c r="G79" s="6">
        <f>Invoerscherm!F333</f>
        <v>0</v>
      </c>
      <c r="H79" s="35" t="str">
        <f>Invoerscherm!G333</f>
        <v>kg</v>
      </c>
      <c r="V79" s="6">
        <f>'Datablad 3'!C101</f>
        <v>0.456214</v>
      </c>
      <c r="W79" s="6">
        <f>'Datablad 3'!D101</f>
        <v>0.456214</v>
      </c>
      <c r="X79" s="35" t="str">
        <f>'Datablad 3'!E101</f>
        <v>kg CO2 / kg aluminiumsulfaat</v>
      </c>
    </row>
    <row r="80" spans="1:24" ht="12.75">
      <c r="A80" s="6" t="s">
        <v>526</v>
      </c>
      <c r="B80" s="6" t="s">
        <v>527</v>
      </c>
      <c r="C80" s="273">
        <f>$G$80*V80</f>
        <v>0</v>
      </c>
      <c r="D80" s="273">
        <f>$G$80*W80</f>
        <v>0</v>
      </c>
      <c r="E80" s="7" t="s">
        <v>427</v>
      </c>
      <c r="G80" s="6">
        <f>Invoerscherm!F335</f>
        <v>0</v>
      </c>
      <c r="H80" s="35" t="str">
        <f>Invoerscherm!G335</f>
        <v>kg</v>
      </c>
      <c r="V80" s="6">
        <f>'Datablad 3'!C104</f>
        <v>0.716675</v>
      </c>
      <c r="W80" s="6">
        <f>'Datablad 3'!D104</f>
        <v>0.716675</v>
      </c>
      <c r="X80" s="35" t="str">
        <f>'Datablad 3'!E104</f>
        <v>kg CO2 / kg ijzerchloride</v>
      </c>
    </row>
    <row r="81" spans="1:24" ht="12.75">
      <c r="A81" s="6" t="s">
        <v>526</v>
      </c>
      <c r="B81" s="6" t="s">
        <v>528</v>
      </c>
      <c r="C81" s="273">
        <f>$G$81*V81</f>
        <v>0</v>
      </c>
      <c r="D81" s="273">
        <f>$G$81*W81</f>
        <v>0</v>
      </c>
      <c r="E81" s="7" t="s">
        <v>427</v>
      </c>
      <c r="G81" s="6">
        <f>Invoerscherm!F337</f>
        <v>0</v>
      </c>
      <c r="H81" s="35" t="str">
        <f>Invoerscherm!G337</f>
        <v>kg</v>
      </c>
      <c r="V81" s="6">
        <f>'Datablad 3'!C105</f>
        <v>2.981988</v>
      </c>
      <c r="W81" s="6">
        <f>'Datablad 3'!D105</f>
        <v>2.981988</v>
      </c>
      <c r="X81" s="35" t="str">
        <f>'Datablad 3'!E105</f>
        <v>kg CO2 / kg kunsthars</v>
      </c>
    </row>
    <row r="82" spans="1:24" ht="12.75">
      <c r="A82" s="6" t="s">
        <v>382</v>
      </c>
      <c r="B82" s="6" t="s">
        <v>379</v>
      </c>
      <c r="C82" s="287">
        <f>$G$82*V82</f>
        <v>0</v>
      </c>
      <c r="D82" s="287">
        <f>$G$82*W82</f>
        <v>0</v>
      </c>
      <c r="E82" s="7" t="s">
        <v>427</v>
      </c>
      <c r="G82" s="6">
        <f>Invoerscherm!F342</f>
        <v>0</v>
      </c>
      <c r="H82" s="35" t="str">
        <f>Invoerscherm!G342</f>
        <v>kg</v>
      </c>
      <c r="V82" s="6">
        <f>'Datablad 3'!C169</f>
        <v>3.67</v>
      </c>
      <c r="W82" s="6">
        <f>'Datablad 3'!D169</f>
        <v>3.67</v>
      </c>
      <c r="X82" s="6" t="str">
        <f>'Datablad 3'!E169</f>
        <v>kg CO2 / kg C</v>
      </c>
    </row>
    <row r="83" spans="1:24" ht="12.75">
      <c r="A83" s="6" t="s">
        <v>382</v>
      </c>
      <c r="B83" s="6" t="s">
        <v>529</v>
      </c>
      <c r="C83" s="287">
        <f>$G$83*V83</f>
        <v>0</v>
      </c>
      <c r="D83" s="287">
        <f>$G$83*W83</f>
        <v>0</v>
      </c>
      <c r="E83" s="7" t="s">
        <v>427</v>
      </c>
      <c r="G83" s="6">
        <f>Invoerscherm!F344</f>
        <v>0</v>
      </c>
      <c r="H83" s="35" t="str">
        <f>Invoerscherm!G344</f>
        <v>kg</v>
      </c>
      <c r="V83" s="89">
        <f>'Datablad 3'!C171</f>
        <v>0.010974949999999997</v>
      </c>
      <c r="W83" s="89">
        <f>'Datablad 3'!D171</f>
        <v>0.010974949999999997</v>
      </c>
      <c r="X83" s="89" t="str">
        <f>'Datablad 3'!E171</f>
        <v>kg CO2 / kg ijzerslib</v>
      </c>
    </row>
    <row r="84" spans="1:24" ht="12.75">
      <c r="A84" s="6" t="s">
        <v>382</v>
      </c>
      <c r="B84" s="6" t="s">
        <v>530</v>
      </c>
      <c r="C84" s="287">
        <f>$G$84*V84</f>
        <v>0</v>
      </c>
      <c r="D84" s="287">
        <f>$G$84*W84</f>
        <v>0</v>
      </c>
      <c r="E84" s="7" t="s">
        <v>427</v>
      </c>
      <c r="G84" s="6">
        <f>Invoerscherm!H346</f>
        <v>0</v>
      </c>
      <c r="H84" s="35" t="str">
        <f>Invoerscherm!I346</f>
        <v>kg</v>
      </c>
      <c r="V84" s="91">
        <f>'Datablad 3'!C176</f>
        <v>2.277612</v>
      </c>
      <c r="W84" s="91">
        <f>'Datablad 3'!D176</f>
        <v>2.277612</v>
      </c>
      <c r="X84" s="6" t="str">
        <f>'Datablad 3'!E176</f>
        <v>kg CO2 / kg concentraat</v>
      </c>
    </row>
    <row r="85" spans="1:24" ht="12.75">
      <c r="A85" s="6" t="s">
        <v>444</v>
      </c>
      <c r="B85" s="6" t="s">
        <v>428</v>
      </c>
      <c r="C85" s="273">
        <f>$G$85*$I$85*$K$85*V85*1.5</f>
        <v>0</v>
      </c>
      <c r="D85" s="273">
        <f>$G$85*$I$85*$K$85*W85*1.5</f>
        <v>0</v>
      </c>
      <c r="E85" s="7" t="s">
        <v>427</v>
      </c>
      <c r="G85" s="6">
        <f>Invoerscherm!C353</f>
        <v>0</v>
      </c>
      <c r="H85" s="35" t="str">
        <f>Invoerscherm!D353</f>
        <v>km</v>
      </c>
      <c r="I85" s="6">
        <f>Invoerscherm!C357</f>
        <v>0</v>
      </c>
      <c r="J85" s="35" t="str">
        <f>Invoerscherm!D357</f>
        <v>aantal keer rijden</v>
      </c>
      <c r="K85" s="44">
        <f>Invoerscherm!C361</f>
        <v>0</v>
      </c>
      <c r="L85" s="106" t="str">
        <f>Invoerscherm!D361</f>
        <v>L brandstof / km</v>
      </c>
      <c r="M85" s="82" t="str">
        <f>Invoerscherm!C365</f>
        <v>&lt;&lt; maak keuze &gt;&gt;</v>
      </c>
      <c r="N85" s="11" t="s">
        <v>422</v>
      </c>
      <c r="V85" s="44">
        <f>IF($M$85="Diesel",'Datablad 1'!B2+'Datablad 1'!B11,IF($M$85="Benzine",'Datablad 1'!B3+'Datablad 1'!B12,IF($M$85="LPG",'Datablad 1'!B4+'Datablad 1'!B13,IF($M$85="Biodiesel",'Datablad 1'!B8+'Datablad 1'!B17,0))))</f>
        <v>0</v>
      </c>
      <c r="W85" s="44">
        <f>V85</f>
        <v>0</v>
      </c>
      <c r="X85" s="35" t="s">
        <v>496</v>
      </c>
    </row>
    <row r="86" ht="12.75"/>
    <row r="87" spans="1:4" ht="12.75">
      <c r="A87" s="120" t="s">
        <v>357</v>
      </c>
      <c r="B87" s="121"/>
      <c r="C87" s="274">
        <f>SUM(C65:C73)</f>
        <v>0</v>
      </c>
      <c r="D87" s="274">
        <f>SUM(D65:D73)</f>
        <v>0</v>
      </c>
    </row>
    <row r="88" spans="1:4" ht="12.75">
      <c r="A88" s="120" t="s">
        <v>611</v>
      </c>
      <c r="B88" s="121"/>
      <c r="C88" s="274">
        <f>SUM(C74:C81)</f>
        <v>0</v>
      </c>
      <c r="D88" s="274">
        <f>SUM(D74:D81)</f>
        <v>0</v>
      </c>
    </row>
    <row r="89" spans="1:4" ht="12.75">
      <c r="A89" s="122" t="s">
        <v>382</v>
      </c>
      <c r="B89" s="123"/>
      <c r="C89" s="274">
        <f>SUM(C82:C84)</f>
        <v>0</v>
      </c>
      <c r="D89" s="274">
        <f>SUM(D82:D84)</f>
        <v>0</v>
      </c>
    </row>
    <row r="90" spans="1:4" ht="12.75">
      <c r="A90" s="122" t="s">
        <v>444</v>
      </c>
      <c r="C90" s="274">
        <f>C85</f>
        <v>0</v>
      </c>
      <c r="D90" s="274">
        <f>D85</f>
        <v>0</v>
      </c>
    </row>
    <row r="91" ht="12.75"/>
    <row r="92" spans="3:39" s="42" customFormat="1" ht="12.75">
      <c r="C92" s="280"/>
      <c r="D92" s="280"/>
      <c r="H92" s="281"/>
      <c r="J92" s="281"/>
      <c r="L92" s="281"/>
      <c r="N92" s="281"/>
      <c r="P92" s="281"/>
      <c r="Q92" s="282"/>
      <c r="R92" s="281"/>
      <c r="S92" s="282"/>
      <c r="T92" s="281"/>
      <c r="X92" s="281"/>
      <c r="AA92" s="281"/>
      <c r="AD92" s="281"/>
      <c r="AG92" s="281"/>
      <c r="AJ92" s="281"/>
      <c r="AM92" s="281"/>
    </row>
    <row r="93" spans="1:39" ht="15.75">
      <c r="A93" s="87" t="s">
        <v>531</v>
      </c>
      <c r="G93" s="13" t="s">
        <v>227</v>
      </c>
      <c r="H93" s="9"/>
      <c r="I93" s="3"/>
      <c r="J93" s="9"/>
      <c r="K93" s="3"/>
      <c r="L93" s="9"/>
      <c r="M93" s="3"/>
      <c r="N93" s="9"/>
      <c r="O93" s="3"/>
      <c r="P93" s="9"/>
      <c r="Q93" s="9"/>
      <c r="R93" s="9"/>
      <c r="S93" s="9"/>
      <c r="T93" s="9"/>
      <c r="U93" s="34"/>
      <c r="V93" s="1" t="s">
        <v>228</v>
      </c>
      <c r="W93" s="1"/>
      <c r="X93" s="9"/>
      <c r="Y93" s="3"/>
      <c r="Z93" s="3"/>
      <c r="AA93" s="9"/>
      <c r="AB93" s="3"/>
      <c r="AC93" s="3"/>
      <c r="AD93" s="9"/>
      <c r="AE93" s="3"/>
      <c r="AF93" s="3"/>
      <c r="AG93" s="9"/>
      <c r="AH93" s="3"/>
      <c r="AI93" s="3"/>
      <c r="AJ93" s="9"/>
      <c r="AK93" s="3"/>
      <c r="AL93" s="3"/>
      <c r="AM93" s="9"/>
    </row>
    <row r="94" spans="7:38" ht="12.75">
      <c r="G94"/>
      <c r="I94"/>
      <c r="K94"/>
      <c r="M94"/>
      <c r="O94"/>
      <c r="Q94" s="35"/>
      <c r="S94" s="35"/>
      <c r="U94" s="36"/>
      <c r="V94"/>
      <c r="W94"/>
      <c r="Y94"/>
      <c r="Z94"/>
      <c r="AB94"/>
      <c r="AC94"/>
      <c r="AE94"/>
      <c r="AF94"/>
      <c r="AH94"/>
      <c r="AI94"/>
      <c r="AK94"/>
      <c r="AL94"/>
    </row>
    <row r="95" spans="1:39" ht="12.75">
      <c r="A95" s="14" t="s">
        <v>229</v>
      </c>
      <c r="B95" s="14" t="s">
        <v>230</v>
      </c>
      <c r="C95" s="272" t="s">
        <v>231</v>
      </c>
      <c r="D95" s="272" t="s">
        <v>232</v>
      </c>
      <c r="E95" s="37" t="s">
        <v>233</v>
      </c>
      <c r="G95" s="14" t="s">
        <v>234</v>
      </c>
      <c r="H95" s="37" t="s">
        <v>233</v>
      </c>
      <c r="I95" s="14" t="s">
        <v>235</v>
      </c>
      <c r="J95" s="37" t="s">
        <v>233</v>
      </c>
      <c r="K95" s="14" t="s">
        <v>236</v>
      </c>
      <c r="L95" s="37" t="s">
        <v>233</v>
      </c>
      <c r="M95" s="14" t="s">
        <v>237</v>
      </c>
      <c r="N95" s="37" t="s">
        <v>233</v>
      </c>
      <c r="O95" s="14" t="s">
        <v>238</v>
      </c>
      <c r="P95" s="37" t="s">
        <v>233</v>
      </c>
      <c r="Q95" s="14" t="s">
        <v>421</v>
      </c>
      <c r="R95" s="37" t="s">
        <v>233</v>
      </c>
      <c r="S95" s="14" t="s">
        <v>507</v>
      </c>
      <c r="T95" s="37" t="s">
        <v>233</v>
      </c>
      <c r="U95" s="38"/>
      <c r="V95" s="14" t="s">
        <v>239</v>
      </c>
      <c r="W95" s="14" t="s">
        <v>240</v>
      </c>
      <c r="X95" s="37" t="s">
        <v>233</v>
      </c>
      <c r="Y95" s="14" t="s">
        <v>241</v>
      </c>
      <c r="Z95" s="14" t="s">
        <v>242</v>
      </c>
      <c r="AA95" s="37" t="s">
        <v>233</v>
      </c>
      <c r="AB95" s="14" t="s">
        <v>243</v>
      </c>
      <c r="AC95" s="14" t="s">
        <v>244</v>
      </c>
      <c r="AD95" s="37" t="s">
        <v>233</v>
      </c>
      <c r="AE95" s="14" t="s">
        <v>245</v>
      </c>
      <c r="AF95" s="14" t="s">
        <v>246</v>
      </c>
      <c r="AG95" s="37" t="s">
        <v>233</v>
      </c>
      <c r="AH95" s="14" t="s">
        <v>247</v>
      </c>
      <c r="AI95" s="14" t="s">
        <v>248</v>
      </c>
      <c r="AJ95" s="37" t="s">
        <v>233</v>
      </c>
      <c r="AK95" s="14" t="s">
        <v>249</v>
      </c>
      <c r="AL95" s="14" t="s">
        <v>250</v>
      </c>
      <c r="AM95" s="37" t="s">
        <v>233</v>
      </c>
    </row>
    <row r="96" spans="1:36" ht="12.75">
      <c r="A96" s="6" t="s">
        <v>549</v>
      </c>
      <c r="B96" s="6" t="s">
        <v>532</v>
      </c>
      <c r="C96" s="287">
        <f>(((((((PI()*POWER($S$96/10,2))-(PI()*POWER(($S$96-V96)/10,2)))*($G$96*100))*Y96)/100)*AB96)*$I$96)+(IF($Q$96="Gestandaardiseerde berekening",$G$96*$I$96*'Datablad 3'!C131*AH96,$G$96*$I$96*AE96*AH96))</f>
        <v>0</v>
      </c>
      <c r="D96" s="287">
        <f>(((((((PI()*POWER($S$96/10,2))-(PI()*POWER(($S$96-W96)/10,2)))*($G$96*100))*Z96)/100)*AC96)*$I$96)+(IF($Q$96="Gestandaardiseerde berekening",$G$96*$I$96*'Datablad 3'!D131*AI96,$G$96*$I$96*AF96*AI96))</f>
        <v>0</v>
      </c>
      <c r="E96" s="7" t="s">
        <v>427</v>
      </c>
      <c r="G96" s="6">
        <f>Invoerscherm!E379</f>
        <v>0</v>
      </c>
      <c r="H96" s="35" t="str">
        <f>Invoerscherm!F379</f>
        <v>m</v>
      </c>
      <c r="I96" s="6">
        <f>Invoerscherm!G379</f>
        <v>0</v>
      </c>
      <c r="J96" s="35" t="str">
        <f>Invoerscherm!H379</f>
        <v>stuks</v>
      </c>
      <c r="K96" s="82" t="str">
        <f>Invoerscherm!I379</f>
        <v>&lt;&lt; maak keuze &gt;&gt;</v>
      </c>
      <c r="L96" s="11" t="s">
        <v>464</v>
      </c>
      <c r="M96" s="82" t="str">
        <f>Invoerscherm!L379</f>
        <v>&lt;&lt; maak keuze &gt;&gt;</v>
      </c>
      <c r="N96" s="11" t="s">
        <v>465</v>
      </c>
      <c r="O96" s="82" t="str">
        <f>Invoerscherm!O379</f>
        <v>&lt;&lt; maak keuze &gt;&gt;</v>
      </c>
      <c r="P96" s="11" t="s">
        <v>477</v>
      </c>
      <c r="Q96" s="82" t="str">
        <f>Invoerscherm!C375</f>
        <v>&lt;&lt; maak keuze &gt;&gt;</v>
      </c>
      <c r="R96" s="11" t="s">
        <v>505</v>
      </c>
      <c r="S96" s="48">
        <f aca="true" t="shared" si="6" ref="S96:S103">IF(M96="32 mm",32/2,IF(M96="50 mm",50/2,IF(M96="90 mm",90/2,IF(M96="110 mm",110/2,IF(M96="250 mm",250/2,0)))))</f>
        <v>0</v>
      </c>
      <c r="T96" s="35" t="s">
        <v>508</v>
      </c>
      <c r="V96" s="6">
        <f>IF($M$96="32 mm",'Datablad 3'!C142,IF($M$96="50 mm",'Datablad 3'!C143,IF($M$96="90 mm",'Datablad 3'!C144,IF($M$96="110 mm",'Datablad 3'!C145,IF($M$96="250 mm",'Datablad 3'!C146,0)))))</f>
        <v>0</v>
      </c>
      <c r="W96" s="6">
        <f>IF($M$96="32 mm",'Datablad 3'!D142,IF($M$96="50 mm",'Datablad 3'!D143,IF($M$96="90 mm",'Datablad 3'!D144,IF($M$96="110 mm",'Datablad 3'!D145,IF($M$96="250 mm",'Datablad 3'!D146,0)))))</f>
        <v>0</v>
      </c>
      <c r="X96" s="35">
        <f>IF($M$96="32 mm",'Datablad 3'!E142,IF($M$96="50 mm",'Datablad 3'!E143,IF($M$96="90 mm",'Datablad 3'!E144,IF($M$96="110 mm",'Datablad 3'!E145,IF($M$96="250 mm",'Datablad 3'!E146,0)))))</f>
        <v>0</v>
      </c>
      <c r="Y96" s="6">
        <f>IF($K$96="PVC",'Datablad 1'!B45,IF($K$96="HDPE",'Datablad 1'!B46,IF($K$96="LDPE",'Datablad 1'!B47,IF($K$96="RVS",'Datablad 1'!D52,0))))</f>
        <v>0</v>
      </c>
      <c r="Z96" s="6">
        <f aca="true" t="shared" si="7" ref="Z96:Z111">Y96</f>
        <v>0</v>
      </c>
      <c r="AA96" s="35">
        <f>IF($K$96="PVC",'Datablad 1'!C45,IF($K$96="HDPE",'Datablad 1'!C46,IF($K$96="LDPE",'Datablad 1'!C47,IF($K$96="RVS",'Datablad 1'!E52,0))))</f>
        <v>0</v>
      </c>
      <c r="AB96" s="91">
        <f>IF($K$96="PVC",'Datablad 3'!C137,IF($K$96="HDPE",'Datablad 3'!C138,IF($K$96="LDPE",'Datablad 3'!C139,IF($K$96="RVS",'Datablad 3'!C140,0))))</f>
        <v>0</v>
      </c>
      <c r="AC96" s="91">
        <f>IF($K$96="PVC",'Datablad 3'!D137,IF($K$96="HDPE",'Datablad 3'!D138,IF($K$96="LDPE",'Datablad 3'!D139,IF($K$96="RVS",'Datablad 3'!D140,0))))</f>
        <v>0</v>
      </c>
      <c r="AD96" s="108">
        <f>IF($K$96="PVC",'Datablad 3'!E137,IF($K$96="HDPE",'Datablad 3'!E138,IF($K$96="LDPE",'Datablad 3'!E139,IF($K$96="RVS",'Datablad 3'!E140,0))))</f>
        <v>0</v>
      </c>
      <c r="AE96" s="93">
        <f>IF($O$96="Avegaarboren",'Datablad 3'!C127,IF($O$96="Geoprobe",'Datablad 3'!C128,IF($O$96="Pulsen",'Datablad 3'!C129,IF($O$96="Sonic drilling",'Datablad 3'!C130,0))))</f>
        <v>0</v>
      </c>
      <c r="AF96" s="93">
        <f>IF($O$96="Avegaarboren",'Datablad 3'!D127,IF($O$96="Geoprobe",'Datablad 3'!D128,IF($O$96="Pulsen",'Datablad 3'!D129,IF($O$96="Sonic drilling",'Datablad 3'!D130,0))))</f>
        <v>0</v>
      </c>
      <c r="AG96" s="95">
        <f>IF($O$96="Avegaarboren",'Datablad 3'!E127,IF($O$96="Geoprobe",'Datablad 3'!E128,IF($O$96="Pulsen",'Datablad 3'!E129,IF($O$96="Sonic drilling",'Datablad 3'!E130,0))))</f>
        <v>0</v>
      </c>
      <c r="AH96" s="91">
        <f>'Datablad 1'!B2+'Datablad 1'!B11</f>
        <v>3.1357</v>
      </c>
      <c r="AI96" s="91">
        <f>AH96</f>
        <v>3.1357</v>
      </c>
      <c r="AJ96" s="11" t="s">
        <v>22</v>
      </c>
    </row>
    <row r="97" spans="1:36" ht="12.75">
      <c r="A97" s="6" t="s">
        <v>549</v>
      </c>
      <c r="B97" s="6" t="s">
        <v>533</v>
      </c>
      <c r="C97" s="287">
        <f>(((((((PI()*POWER($S$97/10,2))-(PI()*POWER(($S$97-V97)/10,2)))*($G$97*100))*Y97)/100)*AB97)*$I$97)+(IF($Q$97="Gestandaardiseerde berekening",$G$97*$I$97*'Datablad 3'!C131*AH97,$G$97*$I$97*AE97*AH97))</f>
        <v>0</v>
      </c>
      <c r="D97" s="287">
        <f>(((((((PI()*POWER($S$97/10,2))-(PI()*POWER(($S$97-W97)/10,2)))*($G$97*100))*Z97)/100)*AC97)*$I$97)+(IF($Q$97="Gestandaardiseerde berekening",$G$97*$I$97*'Datablad 3'!D131*AI97,$G$97*$I$97*AF97*AI97))</f>
        <v>0</v>
      </c>
      <c r="E97" s="7" t="s">
        <v>427</v>
      </c>
      <c r="G97" s="6">
        <f>Invoerscherm!E381</f>
        <v>0</v>
      </c>
      <c r="H97" s="35" t="str">
        <f>Invoerscherm!F381</f>
        <v>m</v>
      </c>
      <c r="I97" s="6">
        <f>Invoerscherm!G381</f>
        <v>0</v>
      </c>
      <c r="J97" s="35" t="str">
        <f>Invoerscherm!H381</f>
        <v>stuks</v>
      </c>
      <c r="K97" s="82" t="str">
        <f>Invoerscherm!I381</f>
        <v>&lt;&lt; maak keuze &gt;&gt;</v>
      </c>
      <c r="L97" s="11" t="s">
        <v>464</v>
      </c>
      <c r="M97" s="82" t="str">
        <f>Invoerscherm!L381</f>
        <v>&lt;&lt; maak keuze &gt;&gt;</v>
      </c>
      <c r="N97" s="11" t="s">
        <v>465</v>
      </c>
      <c r="O97" s="82" t="str">
        <f>Invoerscherm!O381</f>
        <v>&lt;&lt; maak keuze &gt;&gt;</v>
      </c>
      <c r="P97" s="11" t="s">
        <v>477</v>
      </c>
      <c r="Q97" s="82" t="str">
        <f>Invoerscherm!C375</f>
        <v>&lt;&lt; maak keuze &gt;&gt;</v>
      </c>
      <c r="R97" s="11" t="s">
        <v>505</v>
      </c>
      <c r="S97" s="48">
        <f t="shared" si="6"/>
        <v>0</v>
      </c>
      <c r="T97" s="35" t="s">
        <v>508</v>
      </c>
      <c r="V97" s="6">
        <f>IF($M$97="32 mm",'Datablad 3'!C142,IF($M$97="50 mm",'Datablad 3'!C143,IF($M$97="90 mm",'Datablad 3'!C144,IF($M$97="110 mm",'Datablad 3'!C145,IF($M$97="250 mm",'Datablad 3'!C146,0)))))</f>
        <v>0</v>
      </c>
      <c r="W97" s="6">
        <f>IF($M$97="32 mm",'Datablad 3'!D142,IF($M$97="50 mm",'Datablad 3'!D143,IF($M$97="90 mm",'Datablad 3'!D144,IF($M$97="110 mm",'Datablad 3'!D145,IF($M$97="250 mm",'Datablad 3'!D146,0)))))</f>
        <v>0</v>
      </c>
      <c r="X97" s="35">
        <f>IF($M$97="32 mm",'Datablad 3'!E142,IF($M$97="50 mm",'Datablad 3'!E143,IF($M$97="90 mm",'Datablad 3'!E144,IF($M$97="110 mm",'Datablad 3'!E145,IF($M$97="250 mm",'Datablad 3'!E146,0)))))</f>
        <v>0</v>
      </c>
      <c r="Y97" s="6">
        <f>IF($K$97="PVC",'Datablad 1'!B45,IF($K$97="HDPE",'Datablad 1'!B46,IF($K$97="LDPE",'Datablad 1'!B47,IF($K$97="RVS",'Datablad 1'!D52,0))))</f>
        <v>0</v>
      </c>
      <c r="Z97" s="6">
        <f t="shared" si="7"/>
        <v>0</v>
      </c>
      <c r="AA97" s="35">
        <f>IF($K$97="PVC",'Datablad 1'!C45,IF($K$97="HDPE",'Datablad 1'!C46,IF($K$97="LDPE",'Datablad 1'!C47,IF($K$97="RVS",'Datablad 1'!E52,0))))</f>
        <v>0</v>
      </c>
      <c r="AB97" s="91">
        <f>IF($K$97="PVC",'Datablad 3'!C137,IF($K$97="HDPE",'Datablad 3'!C138,IF($K$97="LDPE",'Datablad 3'!C139,IF($K$97="RVS",'Datablad 3'!C140,0))))</f>
        <v>0</v>
      </c>
      <c r="AC97" s="91">
        <f>IF($K$97="PVC",'Datablad 3'!D137,IF($K$97="HDPE",'Datablad 3'!D138,IF($K$97="LDPE",'Datablad 3'!D139,IF($K$97="RVS",'Datablad 3'!D140,0))))</f>
        <v>0</v>
      </c>
      <c r="AD97" s="108">
        <f>IF($K$97="PVC",'Datablad 3'!E137,IF($K$97="HDPE",'Datablad 3'!E138,IF($K$97="LDPE",'Datablad 3'!E139,IF($K$97="RVS",'Datablad 3'!E140,0))))</f>
        <v>0</v>
      </c>
      <c r="AE97" s="93">
        <f>IF($O$97="Avegaarboren",'Datablad 3'!C127,IF($O$97="Geoprobe",'Datablad 3'!C128,IF($O$97="Pulsen",'Datablad 3'!C129,IF($O$97="Sonic drilling",'Datablad 3'!C130,0))))</f>
        <v>0</v>
      </c>
      <c r="AF97" s="93">
        <f>IF($O$97="Avegaarboren",'Datablad 3'!D127,IF($O$97="Geoprobe",'Datablad 3'!D128,IF($O$97="Pulsen",'Datablad 3'!D129,IF($O$97="Sonic drilling",'Datablad 3'!D130,0))))</f>
        <v>0</v>
      </c>
      <c r="AG97" s="95">
        <f>IF($O$97="Avegaarboren",'Datablad 3'!E127,IF($O$97="Geoprobe",'Datablad 3'!E128,IF($O$97="Pulsen",'Datablad 3'!E129,IF($O$97="Sonic drilling",'Datablad 3'!E130,0))))</f>
        <v>0</v>
      </c>
      <c r="AH97" s="91">
        <f>'Datablad 1'!B2+'Datablad 1'!B11</f>
        <v>3.1357</v>
      </c>
      <c r="AI97" s="91">
        <f>AH97</f>
        <v>3.1357</v>
      </c>
      <c r="AJ97" s="11" t="s">
        <v>22</v>
      </c>
    </row>
    <row r="98" spans="1:36" ht="12.75">
      <c r="A98" s="6" t="s">
        <v>549</v>
      </c>
      <c r="B98" s="6" t="s">
        <v>534</v>
      </c>
      <c r="C98" s="287">
        <f>(((((((PI()*POWER($S$98/10,2))-(PI()*POWER(($S$98-V98)/10,2)))*($G$98*100))*Y98)/100)*AB98)*$I$98)+(IF($Q$98="Gestandaardiseerde berekening",$G$98*$I$98*'Datablad 3'!C131*AH98,$G$98*$I$98*AE98*AH98))</f>
        <v>0</v>
      </c>
      <c r="D98" s="287">
        <f>(((((((PI()*POWER($S$98/10,2))-(PI()*POWER(($S$98-W98)/10,2)))*($G$98*100))*Z98)/100)*AC98)*$I$98)+(IF($Q$98="Gestandaardiseerde berekening",$G$98*$I$98*'Datablad 3'!D131*AI98,$G$98*$I$98*AF98*AI98))</f>
        <v>0</v>
      </c>
      <c r="E98" s="7" t="s">
        <v>427</v>
      </c>
      <c r="G98" s="6">
        <f>Invoerscherm!E383</f>
        <v>0</v>
      </c>
      <c r="H98" s="35" t="str">
        <f>Invoerscherm!F383</f>
        <v>m</v>
      </c>
      <c r="I98" s="6">
        <f>Invoerscherm!G383</f>
        <v>0</v>
      </c>
      <c r="J98" s="35" t="str">
        <f>Invoerscherm!H383</f>
        <v>stuks</v>
      </c>
      <c r="K98" s="82" t="str">
        <f>Invoerscherm!I383</f>
        <v>&lt;&lt; maak keuze &gt;&gt;</v>
      </c>
      <c r="L98" s="11" t="s">
        <v>464</v>
      </c>
      <c r="M98" s="82" t="str">
        <f>Invoerscherm!L383</f>
        <v>&lt;&lt; maak keuze &gt;&gt;</v>
      </c>
      <c r="N98" s="11" t="s">
        <v>465</v>
      </c>
      <c r="O98" s="82" t="str">
        <f>Invoerscherm!O383</f>
        <v>&lt;&lt; maak keuze &gt;&gt;</v>
      </c>
      <c r="P98" s="11" t="s">
        <v>477</v>
      </c>
      <c r="Q98" s="82" t="str">
        <f>Invoerscherm!C375</f>
        <v>&lt;&lt; maak keuze &gt;&gt;</v>
      </c>
      <c r="R98" s="11" t="s">
        <v>505</v>
      </c>
      <c r="S98" s="48">
        <f t="shared" si="6"/>
        <v>0</v>
      </c>
      <c r="T98" s="35" t="s">
        <v>508</v>
      </c>
      <c r="V98" s="6">
        <f>IF($M$98="32 mm",'Datablad 3'!C142,IF($M$98="50 mm",'Datablad 3'!C143,IF($M$98="90 mm",'Datablad 3'!C144,IF($M$98="110 mm",'Datablad 3'!C145,IF($M$98="250 mm",'Datablad 3'!C146,0)))))</f>
        <v>0</v>
      </c>
      <c r="W98" s="6">
        <f>IF($M$98="32 mm",'Datablad 3'!D142,IF($M$98="50 mm",'Datablad 3'!D143,IF($M$98="90 mm",'Datablad 3'!D144,IF($M$98="110 mm",'Datablad 3'!D145,IF($M$98="250 mm",'Datablad 3'!D146,0)))))</f>
        <v>0</v>
      </c>
      <c r="X98" s="35">
        <f>IF($M$98="32 mm",'Datablad 3'!E142,IF($M$98="50 mm",'Datablad 3'!E143,IF($M$98="90 mm",'Datablad 3'!E144,IF($M$98="110 mm",'Datablad 3'!E145,IF($M$98="250 mm",'Datablad 3'!E146,0)))))</f>
        <v>0</v>
      </c>
      <c r="Y98" s="6">
        <f>IF($K$98="PVC",'Datablad 1'!B45,IF($K$98="HDPE",'Datablad 1'!B46,IF($K$98="LDPE",'Datablad 1'!B47,IF($K$98="RVS",'Datablad 1'!D52,0))))</f>
        <v>0</v>
      </c>
      <c r="Z98" s="6">
        <f t="shared" si="7"/>
        <v>0</v>
      </c>
      <c r="AA98" s="35">
        <f>IF($K$98="PVC",'Datablad 1'!C45,IF($K$98="HDPE",'Datablad 1'!C46,IF($K$98="LDPE",'Datablad 1'!C47,IF($K$98="RVS",'Datablad 1'!E52,0))))</f>
        <v>0</v>
      </c>
      <c r="AB98" s="91">
        <f>IF($K$98="PVC",'Datablad 3'!C137,IF($K$98="HDPE",'Datablad 3'!C138,IF($K$98="LDPE",'Datablad 3'!C139,IF($K$98="RVS",'Datablad 3'!C140,0))))</f>
        <v>0</v>
      </c>
      <c r="AC98" s="91">
        <f>IF($K$98="PVC",'Datablad 3'!D137,IF($K$98="HDPE",'Datablad 3'!D138,IF($K$98="LDPE",'Datablad 3'!D139,IF($K$98="RVS",'Datablad 3'!D140,0))))</f>
        <v>0</v>
      </c>
      <c r="AD98" s="108">
        <f>IF($K$98="PVC",'Datablad 3'!E137,IF($K$98="HDPE",'Datablad 3'!E138,IF($K$98="LDPE",'Datablad 3'!E139,IF($K$98="RVS",'Datablad 3'!E140,0))))</f>
        <v>0</v>
      </c>
      <c r="AE98" s="93">
        <f>IF($O$98="Avegaarboren",'Datablad 3'!C127,IF($O$98="Geoprobe",'Datablad 3'!C128,IF($O$98="Pulsen",'Datablad 3'!C129,IF($O$98="Sonic drilling",'Datablad 3'!C130,0))))</f>
        <v>0</v>
      </c>
      <c r="AF98" s="93">
        <f>IF($O$98="Avegaarboren",'Datablad 3'!D127,IF($O$98="Geoprobe",'Datablad 3'!D128,IF($O$98="Pulsen",'Datablad 3'!D129,IF($O$98="Sonic drilling",'Datablad 3'!D130,0))))</f>
        <v>0</v>
      </c>
      <c r="AG98" s="95">
        <f>IF($O$98="Avegaarboren",'Datablad 3'!E127,IF($O$98="Geoprobe",'Datablad 3'!E128,IF($O$98="Pulsen",'Datablad 3'!E129,IF($O$98="Sonic drilling",'Datablad 3'!E130,0))))</f>
        <v>0</v>
      </c>
      <c r="AH98" s="91">
        <f>'Datablad 1'!B2+'Datablad 1'!B11</f>
        <v>3.1357</v>
      </c>
      <c r="AI98" s="91">
        <f>AH98</f>
        <v>3.1357</v>
      </c>
      <c r="AJ98" s="11" t="s">
        <v>22</v>
      </c>
    </row>
    <row r="99" spans="1:36" ht="12.75">
      <c r="A99" s="6" t="s">
        <v>549</v>
      </c>
      <c r="B99" s="6" t="s">
        <v>535</v>
      </c>
      <c r="C99" s="287">
        <f>(((((((PI()*POWER($S$99/10,2))-(PI()*POWER(($S$99-V99)/10,2)))*($G$99*100))*Y99)/100)*AB99)*$I$99)+(IF($Q$99="Gestandaardiseerde berekening",$G$99*$I$99*'Datablad 3'!C131*AH99,$G$99*$I$99*AE99*AH99))</f>
        <v>0</v>
      </c>
      <c r="D99" s="287">
        <f>(((((((PI()*POWER($S$99/10,2))-(PI()*POWER(($S$99-W99)/10,2)))*($G$99*100))*Z99)/100)*AC99)*$I$99)+(IF($Q$99="Gestandaardiseerde berekening",$G$99*$I$99*'Datablad 3'!D131*AI99,$G$99*$I$99*AF99*AI99))</f>
        <v>0</v>
      </c>
      <c r="E99" s="7" t="s">
        <v>427</v>
      </c>
      <c r="G99" s="6">
        <f>Invoerscherm!E385</f>
        <v>0</v>
      </c>
      <c r="H99" s="35" t="str">
        <f>Invoerscherm!F385</f>
        <v>m</v>
      </c>
      <c r="I99" s="6">
        <f>Invoerscherm!G385</f>
        <v>0</v>
      </c>
      <c r="J99" s="35" t="str">
        <f>Invoerscherm!H385</f>
        <v>stuks</v>
      </c>
      <c r="K99" s="82" t="str">
        <f>Invoerscherm!I385</f>
        <v>&lt;&lt; maak keuze &gt;&gt;</v>
      </c>
      <c r="L99" s="11" t="s">
        <v>464</v>
      </c>
      <c r="M99" s="82" t="str">
        <f>Invoerscherm!L385</f>
        <v>&lt;&lt; maak keuze &gt;&gt;</v>
      </c>
      <c r="N99" s="11" t="s">
        <v>465</v>
      </c>
      <c r="O99" s="82" t="str">
        <f>Invoerscherm!O385</f>
        <v>&lt;&lt; maak keuze &gt;&gt;</v>
      </c>
      <c r="P99" s="11" t="s">
        <v>477</v>
      </c>
      <c r="Q99" s="82" t="str">
        <f>Invoerscherm!C375</f>
        <v>&lt;&lt; maak keuze &gt;&gt;</v>
      </c>
      <c r="R99" s="11" t="s">
        <v>505</v>
      </c>
      <c r="S99" s="48">
        <f t="shared" si="6"/>
        <v>0</v>
      </c>
      <c r="T99" s="35" t="s">
        <v>508</v>
      </c>
      <c r="V99" s="6">
        <f>IF($M$99="32 mm",'Datablad 3'!C142,IF($M$99="50 mm",'Datablad 3'!C143,IF($M$99="90 mm",'Datablad 3'!C144,IF($M$99="110 mm",'Datablad 3'!C145,IF($M$99="250 mm",'Datablad 3'!C146,0)))))</f>
        <v>0</v>
      </c>
      <c r="W99" s="6">
        <f>IF($M$99="32 mm",'Datablad 3'!D142,IF($M$99="50 mm",'Datablad 3'!D143,IF($M$99="90 mm",'Datablad 3'!D144,IF($M$99="110 mm",'Datablad 3'!D145,IF($M$99="250 mm",'Datablad 3'!D146,0)))))</f>
        <v>0</v>
      </c>
      <c r="X99" s="35">
        <f>IF($M$99="32 mm",'Datablad 3'!E142,IF($M$99="50 mm",'Datablad 3'!E143,IF($M$99="90 mm",'Datablad 3'!E144,IF($M$99="110 mm",'Datablad 3'!E145,IF($M$99="250 mm",'Datablad 3'!E146,0)))))</f>
        <v>0</v>
      </c>
      <c r="Y99" s="6">
        <f>IF($K$99="PVC",'Datablad 1'!B45,IF($K$99="HDPE",'Datablad 1'!B46,IF($K$99="LDPE",'Datablad 1'!B47,IF($K$99="RVS",'Datablad 1'!D52,0))))</f>
        <v>0</v>
      </c>
      <c r="Z99" s="6">
        <f t="shared" si="7"/>
        <v>0</v>
      </c>
      <c r="AA99" s="35">
        <f>IF($K$99="PVC",'Datablad 1'!C45,IF($K$99="HDPE",'Datablad 1'!C46,IF($K$99="LDPE",'Datablad 1'!C47,IF($K$99="RVS",'Datablad 1'!E52,0))))</f>
        <v>0</v>
      </c>
      <c r="AB99" s="91">
        <f>IF($K$99="PVC",'Datablad 3'!C137,IF($K$99="HDPE",'Datablad 3'!C138,IF($K$99="LDPE",'Datablad 3'!C139,IF($K$99="RVS",'Datablad 3'!C140,0))))</f>
        <v>0</v>
      </c>
      <c r="AC99" s="91">
        <f>IF($K$99="PVC",'Datablad 3'!D137,IF($K$99="HDPE",'Datablad 3'!D138,IF($K$99="LDPE",'Datablad 3'!D139,IF($K$99="RVS",'Datablad 3'!D140,0))))</f>
        <v>0</v>
      </c>
      <c r="AD99" s="108">
        <f>IF($K$99="PVC",'Datablad 3'!E137,IF($K$99="HDPE",'Datablad 3'!E138,IF($K$99="LDPE",'Datablad 3'!E139,IF($K$99="RVS",'Datablad 3'!E140,0))))</f>
        <v>0</v>
      </c>
      <c r="AE99" s="93">
        <f>IF($O$99="Avegaarboren",'Datablad 3'!C127,IF($O$99="Geoprobe",'Datablad 3'!C128,IF($O$99="Pulsen",'Datablad 3'!C129,IF($O$99="Sonic drilling",'Datablad 3'!C130,0))))</f>
        <v>0</v>
      </c>
      <c r="AF99" s="93">
        <f>IF($O$99="Avegaarboren",'Datablad 3'!D127,IF($O$99="Geoprobe",'Datablad 3'!D128,IF($O$99="Pulsen",'Datablad 3'!D129,IF($O$99="Sonic drilling",'Datablad 3'!D130,0))))</f>
        <v>0</v>
      </c>
      <c r="AG99" s="95">
        <f>IF($O$99="Avegaarboren",'Datablad 3'!E127,IF($O$99="Geoprobe",'Datablad 3'!E128,IF($O$99="Pulsen",'Datablad 3'!E129,IF($O$99="Sonic drilling",'Datablad 3'!E130,0))))</f>
        <v>0</v>
      </c>
      <c r="AH99" s="91">
        <f>'Datablad 1'!B2+'Datablad 1'!B11</f>
        <v>3.1357</v>
      </c>
      <c r="AI99" s="91">
        <f>AH99</f>
        <v>3.1357</v>
      </c>
      <c r="AJ99" s="11" t="s">
        <v>22</v>
      </c>
    </row>
    <row r="100" spans="1:30" ht="12.75">
      <c r="A100" s="6" t="s">
        <v>549</v>
      </c>
      <c r="B100" s="6" t="s">
        <v>536</v>
      </c>
      <c r="C100" s="287">
        <f>(((((((PI()*POWER($S$100/10,2))-(PI()*POWER(($S$100-V100)/10,2)))*($G$100*100))*Y100)/100)*AB100)*$I$100)</f>
        <v>0</v>
      </c>
      <c r="D100" s="287">
        <f>(((((((PI()*POWER($S$100/10,2))-(PI()*POWER(($S$100-W100)/10,2)))*($G$100*100))*Z100)/100)*AC100)*$I$100)</f>
        <v>0</v>
      </c>
      <c r="E100" s="7" t="s">
        <v>427</v>
      </c>
      <c r="G100" s="6">
        <f>Invoerscherm!E389</f>
        <v>0</v>
      </c>
      <c r="H100" s="35" t="str">
        <f>Invoerscherm!F389</f>
        <v>m</v>
      </c>
      <c r="I100" s="6">
        <f>Invoerscherm!G389</f>
        <v>0</v>
      </c>
      <c r="J100" s="35" t="str">
        <f>Invoerscherm!H389</f>
        <v>stuks</v>
      </c>
      <c r="K100" s="82" t="str">
        <f>Invoerscherm!I389</f>
        <v>&lt;&lt; maak keuze &gt;&gt;</v>
      </c>
      <c r="L100" s="11" t="s">
        <v>540</v>
      </c>
      <c r="M100" s="82" t="str">
        <f>Invoerscherm!L389</f>
        <v>&lt;&lt; maak keuze &gt;&gt;</v>
      </c>
      <c r="N100" s="11" t="s">
        <v>541</v>
      </c>
      <c r="O100" s="82"/>
      <c r="Q100" s="82"/>
      <c r="S100" s="48">
        <f t="shared" si="6"/>
        <v>0</v>
      </c>
      <c r="T100" s="35" t="s">
        <v>508</v>
      </c>
      <c r="V100" s="6">
        <f>IF($M$100="32 mm",'Datablad 3'!C142,IF($M$100="50 mm",'Datablad 3'!C143,IF($M$100="90 mm",'Datablad 3'!C144,IF($M$100="110 mm",'Datablad 3'!C145,IF($M$100="250 mm",'Datablad 3'!C146,0)))))</f>
        <v>0</v>
      </c>
      <c r="W100" s="6">
        <f>IF($M$100="32 mm",'Datablad 3'!D142,IF($M$100="50 mm",'Datablad 3'!D143,IF($M$100="90 mm",'Datablad 3'!D144,IF($M$100="110 mm",'Datablad 3'!D145,IF($M$100="250 mm",'Datablad 3'!D146,0)))))</f>
        <v>0</v>
      </c>
      <c r="X100" s="35">
        <f>IF($M$100="32 mm",'Datablad 3'!E142,IF($M$100="50 mm",'Datablad 3'!E143,IF($M$100="90 mm",'Datablad 3'!E144,IF($M$100="110 mm",'Datablad 3'!E145,IF($M$100="250 mm",'Datablad 3'!E146,0)))))</f>
        <v>0</v>
      </c>
      <c r="Y100" s="6">
        <f>IF($K$100="PVC",'Datablad 1'!B45,IF($K$100="HDPE",'Datablad 1'!B46,IF($K$100="LDPE",'Datablad 1'!B47,IF($K$100="RVS",'Datablad 1'!D52,0))))</f>
        <v>0</v>
      </c>
      <c r="Z100" s="6">
        <f t="shared" si="7"/>
        <v>0</v>
      </c>
      <c r="AA100" s="35">
        <f>IF($K$100="PVC",'Datablad 1'!C45,IF($K$100="HDPE",'Datablad 1'!C46,IF($K$100="LDPE",'Datablad 1'!C47,IF($K$100="RVS",'Datablad 1'!E52,0))))</f>
        <v>0</v>
      </c>
      <c r="AB100" s="91">
        <f>IF($K$100="PVC",'Datablad 3'!C137,IF($K$100="HDPE",'Datablad 3'!C138,IF($K$100="LDPE",'Datablad 3'!C139,IF($K$100="RVS",'Datablad 3'!C140,0))))</f>
        <v>0</v>
      </c>
      <c r="AC100" s="91">
        <f>IF($K$100="PVC",'Datablad 3'!D137,IF($K$100="HDPE",'Datablad 3'!D138,IF($K$100="LDPE",'Datablad 3'!D139,IF($K$100="RVS",'Datablad 3'!D140,0))))</f>
        <v>0</v>
      </c>
      <c r="AD100" s="108">
        <f>IF($K$100="PVC",'Datablad 3'!E137,IF($K$100="HDPE",'Datablad 3'!E138,IF($K$100="LDPE",'Datablad 3'!E139,IF($K$100="RVS",'Datablad 3'!E140,0))))</f>
        <v>0</v>
      </c>
    </row>
    <row r="101" spans="1:30" ht="12.75">
      <c r="A101" s="6" t="s">
        <v>549</v>
      </c>
      <c r="B101" s="6" t="s">
        <v>537</v>
      </c>
      <c r="C101" s="287">
        <f>(((((((PI()*POWER($S$101/10,2))-(PI()*POWER(($S$101-V101)/10,2)))*($G$101*100))*Y101)/100)*AB101)*$I$101)</f>
        <v>0</v>
      </c>
      <c r="D101" s="287">
        <f>(((((((PI()*POWER($S$101/10,2))-(PI()*POWER(($S$101-W101)/10,2)))*($G$101*100))*Z101)/100)*AC101)*$I$101)</f>
        <v>0</v>
      </c>
      <c r="E101" s="7" t="s">
        <v>427</v>
      </c>
      <c r="G101" s="6">
        <f>Invoerscherm!E391</f>
        <v>0</v>
      </c>
      <c r="H101" s="35" t="str">
        <f>Invoerscherm!F391</f>
        <v>m</v>
      </c>
      <c r="I101" s="6">
        <f>Invoerscherm!G391</f>
        <v>0</v>
      </c>
      <c r="J101" s="35" t="str">
        <f>Invoerscherm!H391</f>
        <v>stuks</v>
      </c>
      <c r="K101" s="82" t="str">
        <f>Invoerscherm!I391</f>
        <v>&lt;&lt; maak keuze &gt;&gt;</v>
      </c>
      <c r="L101" s="11" t="s">
        <v>540</v>
      </c>
      <c r="M101" s="82" t="str">
        <f>Invoerscherm!L391</f>
        <v>&lt;&lt; maak keuze &gt;&gt;</v>
      </c>
      <c r="N101" s="11" t="s">
        <v>541</v>
      </c>
      <c r="S101" s="48">
        <f t="shared" si="6"/>
        <v>0</v>
      </c>
      <c r="T101" s="35" t="s">
        <v>508</v>
      </c>
      <c r="V101" s="6">
        <f>IF($M$101="32 mm",'Datablad 3'!C142,IF($M$101="50 mm",'Datablad 3'!C143,IF($M$101="90 mm",'Datablad 3'!C144,IF($M$101="110 mm",'Datablad 3'!C145,IF($M$101="250 mm",'Datablad 3'!C146,0)))))</f>
        <v>0</v>
      </c>
      <c r="W101" s="6">
        <f>IF($M$101="32 mm",'Datablad 3'!D142,IF($M$101="50 mm",'Datablad 3'!D143,IF($M$101="90 mm",'Datablad 3'!D144,IF($M$101="110 mm",'Datablad 3'!D145,IF($M$101="250 mm",'Datablad 3'!D146,0)))))</f>
        <v>0</v>
      </c>
      <c r="X101" s="35">
        <f>IF($M$101="32 mm",'Datablad 3'!E142,IF($M$101="50 mm",'Datablad 3'!E143,IF($M$101="90 mm",'Datablad 3'!E144,IF($M$101="110 mm",'Datablad 3'!E145,IF($M$101="250 mm",'Datablad 3'!E146,0)))))</f>
        <v>0</v>
      </c>
      <c r="Y101" s="6">
        <f>IF($K$101="PVC",'Datablad 1'!B45,IF($K$101="HDPE",'Datablad 1'!B46,IF($K$101="LDPE",'Datablad 1'!B47,IF($K$101="RVS",'Datablad 1'!D52,0))))</f>
        <v>0</v>
      </c>
      <c r="Z101" s="6">
        <f t="shared" si="7"/>
        <v>0</v>
      </c>
      <c r="AA101" s="35">
        <f>IF($K$101="PVC",'Datablad 1'!C45,IF($K$101="HDPE",'Datablad 1'!C46,IF($K$101="LDPE",'Datablad 1'!C47,IF($K$101="RVS",'Datablad 1'!E52,0))))</f>
        <v>0</v>
      </c>
      <c r="AB101" s="91">
        <f>IF($K$101="PVC",'Datablad 3'!C137,IF($K$101="HDPE",'Datablad 3'!C138,IF($K$101="LDPE",'Datablad 3'!C139,IF($K$101="RVS",'Datablad 3'!C140,0))))</f>
        <v>0</v>
      </c>
      <c r="AC101" s="91">
        <f>IF($K$101="PVC",'Datablad 3'!D137,IF($K$101="HDPE",'Datablad 3'!D138,IF($K$101="LDPE",'Datablad 3'!D139,IF($K$101="RVS",'Datablad 3'!D140,0))))</f>
        <v>0</v>
      </c>
      <c r="AD101" s="108">
        <f>IF($K$101="PVC",'Datablad 3'!E137,IF($K$101="HDPE",'Datablad 3'!E138,IF($K$101="LDPE",'Datablad 3'!E139,IF($K$101="RVS",'Datablad 3'!E140,0))))</f>
        <v>0</v>
      </c>
    </row>
    <row r="102" spans="1:30" ht="12.75">
      <c r="A102" s="6" t="s">
        <v>549</v>
      </c>
      <c r="B102" s="6" t="s">
        <v>538</v>
      </c>
      <c r="C102" s="287">
        <f>(((((((PI()*POWER($S$102/10,2))-(PI()*POWER(($S$102-V102)/10,2)))*($G$102*100))*Y102)/100)*AB102)*$I$102)</f>
        <v>0</v>
      </c>
      <c r="D102" s="287">
        <f>(((((((PI()*POWER($S$102/10,2))-(PI()*POWER(($S$102-W102)/10,2)))*($G$102*100))*Z102)/100)*AC102)*$I$102)</f>
        <v>0</v>
      </c>
      <c r="E102" s="7" t="s">
        <v>427</v>
      </c>
      <c r="G102" s="6">
        <f>Invoerscherm!E393</f>
        <v>0</v>
      </c>
      <c r="H102" s="35" t="str">
        <f>Invoerscherm!F393</f>
        <v>m</v>
      </c>
      <c r="I102" s="6">
        <f>Invoerscherm!G393</f>
        <v>0</v>
      </c>
      <c r="J102" s="35" t="str">
        <f>Invoerscherm!H393</f>
        <v>stuks</v>
      </c>
      <c r="K102" s="82" t="str">
        <f>Invoerscherm!I393</f>
        <v>&lt;&lt; maak keuze &gt;&gt;</v>
      </c>
      <c r="L102" s="11" t="s">
        <v>540</v>
      </c>
      <c r="M102" s="82" t="str">
        <f>Invoerscherm!L393</f>
        <v>&lt;&lt; maak keuze &gt;&gt;</v>
      </c>
      <c r="N102" s="11" t="s">
        <v>541</v>
      </c>
      <c r="S102" s="48">
        <f t="shared" si="6"/>
        <v>0</v>
      </c>
      <c r="T102" s="35" t="s">
        <v>508</v>
      </c>
      <c r="V102" s="6">
        <f>IF($M$102="32 mm",'Datablad 3'!C142,IF($M$102="50 mm",'Datablad 3'!C143,IF($M$102="90 mm",'Datablad 3'!C144,IF($M$102="110 mm",'Datablad 3'!C145,IF($M$102="250 mm",'Datablad 3'!C146,0)))))</f>
        <v>0</v>
      </c>
      <c r="W102" s="6">
        <f>IF($M$102="32 mm",'Datablad 3'!D142,IF($M$102="50 mm",'Datablad 3'!D143,IF($M$102="90 mm",'Datablad 3'!D144,IF($M$102="110 mm",'Datablad 3'!D145,IF($M$102="250 mm",'Datablad 3'!D146,0)))))</f>
        <v>0</v>
      </c>
      <c r="X102" s="35">
        <f>IF($M$102="32 mm",'Datablad 3'!E142,IF($M$102="50 mm",'Datablad 3'!E143,IF($M$102="90 mm",'Datablad 3'!E144,IF($M$102="110 mm",'Datablad 3'!E145,IF($M$102="250 mm",'Datablad 3'!E146,0)))))</f>
        <v>0</v>
      </c>
      <c r="Y102" s="6">
        <f>IF($K$102="PVC",'Datablad 1'!B45,IF($K$102="HDPE",'Datablad 1'!B46,IF($K$102="LDPE",'Datablad 1'!B47,IF($K$102="RVS",'Datablad 1'!D52,0))))</f>
        <v>0</v>
      </c>
      <c r="Z102" s="6">
        <f t="shared" si="7"/>
        <v>0</v>
      </c>
      <c r="AA102" s="35">
        <f>IF($K$102="PVC",'Datablad 1'!C45,IF($K$102="HDPE",'Datablad 1'!C46,IF($K$102="LDPE",'Datablad 1'!C47,IF($K$102="RVS",'Datablad 1'!E52,0))))</f>
        <v>0</v>
      </c>
      <c r="AB102" s="91">
        <f>IF($K$102="PVC",'Datablad 3'!C137,IF($K$102="HDPE",'Datablad 3'!C138,IF($K$102="LDPE",'Datablad 3'!C139,IF($K$102="RVS",'Datablad 3'!C140,0))))</f>
        <v>0</v>
      </c>
      <c r="AC102" s="91">
        <f>IF($K$102="PVC",'Datablad 3'!D137,IF($K$102="HDPE",'Datablad 3'!D138,IF($K$102="LDPE",'Datablad 3'!D139,IF($K$102="RVS",'Datablad 3'!D140,0))))</f>
        <v>0</v>
      </c>
      <c r="AD102" s="108">
        <f>IF($K$102="PVC",'Datablad 3'!E137,IF($K$102="HDPE",'Datablad 3'!E138,IF($K$102="LDPE",'Datablad 3'!E139,IF($K$102="RVS",'Datablad 3'!E140,0))))</f>
        <v>0</v>
      </c>
    </row>
    <row r="103" spans="1:30" ht="12.75">
      <c r="A103" s="6" t="s">
        <v>549</v>
      </c>
      <c r="B103" s="6" t="s">
        <v>539</v>
      </c>
      <c r="C103" s="287">
        <f>(((((((PI()*POWER($S$103/10,2))-(PI()*POWER(($S$103-V103)/10,2)))*($G$103*100))*Y103)/100)*AB103)*$I$103)</f>
        <v>0</v>
      </c>
      <c r="D103" s="287">
        <f>(((((((PI()*POWER($S$103/10,2))-(PI()*POWER(($S$103-W103)/10,2)))*($G$103*100))*Z103)/100)*AC103)*$I$103)</f>
        <v>0</v>
      </c>
      <c r="E103" s="7" t="s">
        <v>427</v>
      </c>
      <c r="G103" s="6">
        <f>Invoerscherm!E395</f>
        <v>0</v>
      </c>
      <c r="H103" s="35" t="str">
        <f>Invoerscherm!F395</f>
        <v>m</v>
      </c>
      <c r="I103" s="6">
        <f>Invoerscherm!G395</f>
        <v>0</v>
      </c>
      <c r="J103" s="35" t="str">
        <f>Invoerscherm!H395</f>
        <v>stuks</v>
      </c>
      <c r="K103" s="82" t="str">
        <f>Invoerscherm!I395</f>
        <v>&lt;&lt; maak keuze &gt;&gt;</v>
      </c>
      <c r="L103" s="11" t="s">
        <v>540</v>
      </c>
      <c r="M103" s="82" t="str">
        <f>Invoerscherm!L395</f>
        <v>&lt;&lt; maak keuze &gt;&gt;</v>
      </c>
      <c r="N103" s="11" t="s">
        <v>541</v>
      </c>
      <c r="S103" s="48">
        <f t="shared" si="6"/>
        <v>0</v>
      </c>
      <c r="T103" s="35" t="s">
        <v>508</v>
      </c>
      <c r="V103" s="6">
        <f>IF($M$103="32 mm",'Datablad 3'!C142,IF($M$103="50 mm",'Datablad 3'!C143,IF($M$103="90 mm",'Datablad 3'!C144,IF($M$103="110 mm",'Datablad 3'!C145,IF($M$103="250 mm",'Datablad 3'!C146,0)))))</f>
        <v>0</v>
      </c>
      <c r="W103" s="6">
        <f>IF($M$103="32 mm",'Datablad 3'!D142,IF($M$103="50 mm",'Datablad 3'!D143,IF($M$103="90 mm",'Datablad 3'!D144,IF($M$103="110 mm",'Datablad 3'!D145,IF($M$103="250 mm",'Datablad 3'!D146,0)))))</f>
        <v>0</v>
      </c>
      <c r="X103" s="35">
        <f>IF($M$103="32 mm",'Datablad 3'!E142,IF($M$103="50 mm",'Datablad 3'!E143,IF($M$103="90 mm",'Datablad 3'!E144,IF($M$103="110 mm",'Datablad 3'!E145,IF($M$103="250 mm",'Datablad 3'!E146,0)))))</f>
        <v>0</v>
      </c>
      <c r="Y103" s="6">
        <f>IF($K$103="PVC",'Datablad 1'!B45,IF($K$103="HDPE",'Datablad 1'!B46,IF($K$103="LDPE",'Datablad 1'!B47,IF($K$103="RVS",'Datablad 1'!D52,0))))</f>
        <v>0</v>
      </c>
      <c r="Z103" s="6">
        <f t="shared" si="7"/>
        <v>0</v>
      </c>
      <c r="AA103" s="35">
        <f>IF($K$103="PVC",'Datablad 1'!C45,IF($K$103="HDPE",'Datablad 1'!C46,IF($K$103="LDPE",'Datablad 1'!C47,IF($K$103="RVS",'Datablad 1'!E52,0))))</f>
        <v>0</v>
      </c>
      <c r="AB103" s="91">
        <f>IF($K$103="PVC",'Datablad 3'!C137,IF($K$103="HDPE",'Datablad 3'!C138,IF($K$103="LDPE",'Datablad 3'!C139,IF($K$103="RVS",'Datablad 3'!C140,0))))</f>
        <v>0</v>
      </c>
      <c r="AC103" s="91">
        <f>IF($K$103="PVC",'Datablad 3'!D137,IF($K$103="HDPE",'Datablad 3'!D138,IF($K$103="LDPE",'Datablad 3'!D139,IF($K$103="RVS",'Datablad 3'!D140,0))))</f>
        <v>0</v>
      </c>
      <c r="AD103" s="108">
        <f>IF($K$103="PVC",'Datablad 3'!E137,IF($K$103="HDPE",'Datablad 3'!E138,IF($K$103="LDPE",'Datablad 3'!E139,IF($K$103="RVS",'Datablad 3'!E140,0))))</f>
        <v>0</v>
      </c>
    </row>
    <row r="104" spans="1:27" ht="12.75">
      <c r="A104" s="6" t="s">
        <v>542</v>
      </c>
      <c r="B104" s="6" t="s">
        <v>543</v>
      </c>
      <c r="C104" s="273">
        <f>((24*$I$104)*V104*Y104)*$G$104</f>
        <v>0</v>
      </c>
      <c r="D104" s="273">
        <f>((24*$I$104)*W104*Z104)*$G$104</f>
        <v>0</v>
      </c>
      <c r="E104" s="7" t="s">
        <v>427</v>
      </c>
      <c r="G104" s="6">
        <f>Invoerscherm!F399</f>
        <v>0</v>
      </c>
      <c r="H104" s="35" t="str">
        <f>Invoerscherm!G399</f>
        <v>stuks</v>
      </c>
      <c r="I104" s="6">
        <f>Invoerscherm!H408</f>
        <v>0</v>
      </c>
      <c r="J104" s="35" t="str">
        <f>Invoerscherm!I408</f>
        <v>dagen</v>
      </c>
      <c r="K104" s="82" t="str">
        <f>Invoerscherm!I399</f>
        <v>&lt;&lt; maak keuze &gt;&gt;</v>
      </c>
      <c r="L104" s="11" t="s">
        <v>442</v>
      </c>
      <c r="V104" s="6">
        <f>'Datablad 3'!C70</f>
        <v>7</v>
      </c>
      <c r="W104" s="6">
        <f>'Datablad 3'!D70</f>
        <v>7</v>
      </c>
      <c r="X104" s="35" t="str">
        <f>'Datablad 3'!E70</f>
        <v>kWh</v>
      </c>
      <c r="Y104" s="6">
        <f>IF($K$104="Grijze stroom",'Datablad 1'!B29,IF($K$104="Groene stroom",'Datablad 1'!B30,IF($K$104="Directe windenergie",'Datablad 1'!B31,IF($K$104="Directe zonne-energie",'Datablad 1'!B32,IF($K$104="Directe waterkracht",'Datablad 1'!B33,IF($K$104="Directe biomassa",'Datablad 1'!B34,0))))))</f>
        <v>0</v>
      </c>
      <c r="Z104" s="6">
        <f t="shared" si="7"/>
        <v>0</v>
      </c>
      <c r="AA104" s="35">
        <f>IF($K$104="Grijze stroom",'Datablad 1'!C29,IF($K$104="Groene stroom",'Datablad 1'!C30,IF($K$104="Directe windenergie",'Datablad 1'!C31,IF($K$104="Directe zonne-energie",'Datablad 1'!C32,IF($K$104="Directe waterkracht",'Datablad 1'!C33,IF($K$104="Directe biomassa",'Datablad 1'!C34,0))))))</f>
        <v>0</v>
      </c>
    </row>
    <row r="105" spans="1:27" ht="12.75">
      <c r="A105" s="6" t="s">
        <v>542</v>
      </c>
      <c r="B105" s="6" t="s">
        <v>544</v>
      </c>
      <c r="C105" s="273">
        <f>((24*$I$105)*V105*Y105)*$G$105</f>
        <v>0</v>
      </c>
      <c r="D105" s="273">
        <f>((24*$I$105)*W105*Z105)*$G$105</f>
        <v>0</v>
      </c>
      <c r="E105" s="7" t="s">
        <v>427</v>
      </c>
      <c r="G105" s="6">
        <f>Invoerscherm!F401</f>
        <v>0</v>
      </c>
      <c r="H105" s="35" t="str">
        <f>Invoerscherm!G401</f>
        <v>stuks</v>
      </c>
      <c r="I105" s="6">
        <f>Invoerscherm!H410</f>
        <v>0</v>
      </c>
      <c r="J105" s="35" t="str">
        <f>Invoerscherm!I410</f>
        <v>dagen</v>
      </c>
      <c r="K105" s="82" t="str">
        <f>Invoerscherm!I399</f>
        <v>&lt;&lt; maak keuze &gt;&gt;</v>
      </c>
      <c r="L105" s="11" t="s">
        <v>442</v>
      </c>
      <c r="V105" s="6">
        <f>'Datablad 3'!C71</f>
        <v>10</v>
      </c>
      <c r="W105" s="6">
        <f>'Datablad 3'!D71</f>
        <v>10</v>
      </c>
      <c r="X105" s="35" t="str">
        <f>'Datablad 3'!E71</f>
        <v>kWh</v>
      </c>
      <c r="Y105" s="6">
        <f>IF($K$105="Grijze stroom",'Datablad 1'!B29,IF($K$105="Groene stroom",'Datablad 1'!B30,IF($K$105="Directe windenergie",'Datablad 1'!B31,IF($K$105="Directe zonne-energie",'Datablad 1'!B32,IF($K$105="Directe waterkracht",'Datablad 1'!B33,IF($K$105="Directe biomassa",'Datablad 1'!B34,0))))))</f>
        <v>0</v>
      </c>
      <c r="Z105" s="6">
        <f t="shared" si="7"/>
        <v>0</v>
      </c>
      <c r="AA105" s="35">
        <f>IF($K$105="Grijze stroom",'Datablad 1'!C29,IF($K$105="Groene stroom",'Datablad 1'!C30,IF($K$105="Directe windenergie",'Datablad 1'!C31,IF($K$105="Directe zonne-energie",'Datablad 1'!C32,IF($K$105="Directe waterkracht",'Datablad 1'!C33,IF($K$105="Directe biomassa",'Datablad 1'!C34,0))))))</f>
        <v>0</v>
      </c>
    </row>
    <row r="106" spans="1:27" ht="12.75">
      <c r="A106" s="6" t="s">
        <v>542</v>
      </c>
      <c r="B106" s="6" t="s">
        <v>545</v>
      </c>
      <c r="C106" s="273">
        <f>((24*$I$106)*V106*Y106)*$G$106</f>
        <v>0</v>
      </c>
      <c r="D106" s="273">
        <f>((24*7*$I$106)*W106*Z106)*$G$106</f>
        <v>0</v>
      </c>
      <c r="E106" s="7" t="s">
        <v>427</v>
      </c>
      <c r="G106" s="6">
        <f>Invoerscherm!F403</f>
        <v>0</v>
      </c>
      <c r="H106" s="35" t="str">
        <f>Invoerscherm!G403</f>
        <v>stuks</v>
      </c>
      <c r="I106" s="6">
        <f>Invoerscherm!H412</f>
        <v>0</v>
      </c>
      <c r="J106" s="35" t="str">
        <f>Invoerscherm!I412</f>
        <v>dagen</v>
      </c>
      <c r="K106" s="82" t="str">
        <f>Invoerscherm!I399</f>
        <v>&lt;&lt; maak keuze &gt;&gt;</v>
      </c>
      <c r="L106" s="11" t="s">
        <v>442</v>
      </c>
      <c r="V106" s="6">
        <f>'Datablad 3'!C72</f>
        <v>17</v>
      </c>
      <c r="W106" s="6">
        <f>'Datablad 3'!D72</f>
        <v>17</v>
      </c>
      <c r="X106" s="35" t="str">
        <f>'Datablad 3'!E72</f>
        <v>kWh</v>
      </c>
      <c r="Y106" s="6">
        <f>IF($K$106="Grijze stroom",'Datablad 1'!B29,IF($K$106="Groene stroom",'Datablad 1'!B30,IF($K$106="Directe windenergie",'Datablad 1'!B31,IF($K$106="Directe zonne-energie",'Datablad 1'!B32,IF($K$106="Directe waterkracht",'Datablad 1'!B33,IF($K$106="Directe biomassa",'Datablad 1'!B34,0))))))</f>
        <v>0</v>
      </c>
      <c r="Z106" s="6">
        <f t="shared" si="7"/>
        <v>0</v>
      </c>
      <c r="AA106" s="35">
        <f>IF($K$106="Grijze stroom",'Datablad 1'!C29,IF($K$106="Groene stroom",'Datablad 1'!C30,IF($K$106="Directe windenergie",'Datablad 1'!C31,IF($K$106="Directe zonne-energie",'Datablad 1'!C32,IF($K$106="Directe waterkracht",'Datablad 1'!C33,IF($K$106="Directe biomassa",'Datablad 1'!C34,0))))))</f>
        <v>0</v>
      </c>
    </row>
    <row r="107" spans="1:27" ht="12.75">
      <c r="A107" s="6" t="s">
        <v>546</v>
      </c>
      <c r="B107" s="6" t="s">
        <v>404</v>
      </c>
      <c r="C107" s="287">
        <f>(((($G$107*V107)*1000)*(($I$107/100)/1.724))*Y107)+($K$107*Y107)</f>
        <v>0</v>
      </c>
      <c r="D107" s="287">
        <f>(((($G$107*W107)*1000)*(($I$107/100)/1.724))*Z107)+($K$107*Z107)</f>
        <v>0</v>
      </c>
      <c r="E107" s="7" t="s">
        <v>427</v>
      </c>
      <c r="G107" s="6">
        <f>Invoerscherm!H417</f>
        <v>0</v>
      </c>
      <c r="H107" s="35" t="str">
        <f>Invoerscherm!I417</f>
        <v>m³ grond</v>
      </c>
      <c r="I107" s="6">
        <f>Invoerscherm!H419</f>
        <v>0</v>
      </c>
      <c r="J107" s="35" t="str">
        <f>Invoerscherm!I419</f>
        <v>%</v>
      </c>
      <c r="K107" s="6">
        <f>Invoerscherm!H421</f>
        <v>0</v>
      </c>
      <c r="L107" s="35" t="str">
        <f>Invoerscherm!I421</f>
        <v>kg C verontreiniging</v>
      </c>
      <c r="V107" s="6">
        <f>'Datablad 1'!B39</f>
        <v>1.7</v>
      </c>
      <c r="W107" s="6">
        <f>V107</f>
        <v>1.7</v>
      </c>
      <c r="X107" s="35" t="str">
        <f>'Datablad 1'!C39</f>
        <v>ton/m3</v>
      </c>
      <c r="Y107" s="6">
        <f>'Datablad 2'!C5</f>
        <v>0.29</v>
      </c>
      <c r="Z107" s="6">
        <f t="shared" si="7"/>
        <v>0.29</v>
      </c>
      <c r="AA107" s="35" t="str">
        <f>'Datablad 2'!D5</f>
        <v>kg CO2 / kg C</v>
      </c>
    </row>
    <row r="108" spans="1:36" ht="12.75">
      <c r="A108" s="6" t="s">
        <v>550</v>
      </c>
      <c r="B108" s="6" t="s">
        <v>551</v>
      </c>
      <c r="C108" s="287">
        <f>(((((((PI()*POWER($S$108/10,2))-(PI()*POWER(($S$108-V108)/10,2)))*($G$108*100))*Y108)/100)*AB108)*$I$108)+(IF($Q$108="Gestandaardiseerde berekening",$G$108*$I$108*'Datablad 3'!C131*AH108,$G$108*$I$108*AE108*AH108))</f>
        <v>0</v>
      </c>
      <c r="D108" s="287">
        <f>(((((((PI()*POWER($S$108/10,2))-(PI()*POWER(($S$108-W108)/10,2)))*($G$108*100))*Z108)/100)*AC108)*$I$108)+(IF($Q$108="Gestandaardiseerde berekening",$G$108*$I$108*'Datablad 3'!D131*AI108,$G$108*$I$108*AF108*AI108))</f>
        <v>0</v>
      </c>
      <c r="E108" s="7" t="s">
        <v>427</v>
      </c>
      <c r="G108" s="6">
        <f>Invoerscherm!E432</f>
        <v>0</v>
      </c>
      <c r="H108" s="35" t="str">
        <f>Invoerscherm!F432</f>
        <v>m</v>
      </c>
      <c r="I108" s="6">
        <f>Invoerscherm!G432</f>
        <v>0</v>
      </c>
      <c r="J108" s="35" t="str">
        <f>Invoerscherm!H432</f>
        <v>stuks</v>
      </c>
      <c r="K108" s="82" t="str">
        <f>Invoerscherm!I432</f>
        <v>&lt;&lt; maak keuze &gt;&gt;</v>
      </c>
      <c r="L108" s="11" t="s">
        <v>464</v>
      </c>
      <c r="M108" s="82" t="str">
        <f>Invoerscherm!L432</f>
        <v>&lt;&lt; maak keuze &gt;&gt;</v>
      </c>
      <c r="N108" s="11" t="s">
        <v>465</v>
      </c>
      <c r="O108" s="82" t="str">
        <f>Invoerscherm!O432</f>
        <v>&lt;&lt; maak keuze &gt;&gt;</v>
      </c>
      <c r="P108" s="11" t="s">
        <v>477</v>
      </c>
      <c r="Q108" s="110" t="str">
        <f>Invoerscherm!C428</f>
        <v>&lt;&lt; maak keuze &gt;&gt;</v>
      </c>
      <c r="R108" s="11" t="s">
        <v>505</v>
      </c>
      <c r="S108" s="48">
        <f>IF(M108="32 mm",32/2,IF(M108="50 mm",50/2,IF(M108="90 mm",90/2,IF(M108="110 mm",110/2,IF(M108="250 mm",250/2,0)))))</f>
        <v>0</v>
      </c>
      <c r="T108" s="35" t="s">
        <v>508</v>
      </c>
      <c r="V108" s="6">
        <f>IF($M$108="32 mm",'Datablad 3'!C142,IF($M$108="50 mm",'Datablad 3'!C143,IF($M$108="90 mm",'Datablad 3'!C144,IF($M$108="110 mm",'Datablad 3'!C145,IF($M$108="250 mm",'Datablad 3'!C146,0)))))</f>
        <v>0</v>
      </c>
      <c r="W108" s="6">
        <f>IF($M$108="32 mm",'Datablad 3'!D142,IF($M$108="50 mm",'Datablad 3'!D143,IF($M$108="90 mm",'Datablad 3'!D144,IF($M$108="110 mm",'Datablad 3'!D145,IF($M$108="250 mm",'Datablad 3'!D146,0)))))</f>
        <v>0</v>
      </c>
      <c r="X108" s="35">
        <f>IF($M$108="32 mm",'Datablad 3'!E142,IF($M$108="50 mm",'Datablad 3'!E143,IF($M$108="90 mm",'Datablad 3'!E144,IF($M$108="110 mm",'Datablad 3'!E145,IF($M$108="250 mm",'Datablad 3'!E146,0)))))</f>
        <v>0</v>
      </c>
      <c r="Y108" s="6">
        <f>IF($K$108="PVC",'Datablad 1'!B45,IF($K$108="HDPE",'Datablad 1'!B46,IF($K$108="LDPE",'Datablad 1'!B47,IF($K$108="RVS",'Datablad 1'!D52,0))))</f>
        <v>0</v>
      </c>
      <c r="Z108" s="6">
        <f t="shared" si="7"/>
        <v>0</v>
      </c>
      <c r="AA108" s="35">
        <f>IF($K$108="PVC",'Datablad 1'!C45,IF($K$108="HDPE",'Datablad 1'!C46,IF($K$108="LDPE",'Datablad 1'!C47,IF($K$108="RVS",'Datablad 1'!E52,0))))</f>
        <v>0</v>
      </c>
      <c r="AB108" s="91">
        <f>IF($K$108="PVC",'Datablad 3'!C137,IF($K$108="HDPE",'Datablad 3'!C138,IF($K$108="LDPE",'Datablad 3'!C139,IF($K$108="RVS",'Datablad 3'!C140,0))))</f>
        <v>0</v>
      </c>
      <c r="AC108" s="91">
        <f>IF($K$108="PVC",'Datablad 3'!D137,IF($K$108="HDPE",'Datablad 3'!D138,IF($K$108="LDPE",'Datablad 3'!D139,IF($K$108="RVS",'Datablad 3'!D140,0))))</f>
        <v>0</v>
      </c>
      <c r="AD108" s="108">
        <f>IF($K$108="PVC",'Datablad 3'!E137,IF($K$108="HDPE",'Datablad 3'!E138,IF($K$108="LDPE",'Datablad 3'!E139,IF($K$108="RVS",'Datablad 3'!E140,0))))</f>
        <v>0</v>
      </c>
      <c r="AE108" s="93">
        <f>IF($O$108="Avegaarboren",'Datablad 3'!C127,IF($O$108="Geoprobe",'Datablad 3'!C128,IF($O$108="Pulsen",'Datablad 3'!C129,IF($O$108="Sonic drilling",'Datablad 3'!C130,0))))</f>
        <v>0</v>
      </c>
      <c r="AF108" s="93">
        <f>IF($O$108="Avegaarboren",'Datablad 3'!D127,IF($O$108="Geoprobe",'Datablad 3'!D128,IF($O$108="Pulsen",'Datablad 3'!D129,IF($O$108="Sonic drilling",'Datablad 3'!D130,0))))</f>
        <v>0</v>
      </c>
      <c r="AG108" s="95">
        <f>IF($O$108="Avegaarboren",'Datablad 3'!E127,IF($O$108="Geoprobe",'Datablad 3'!E128,IF($O$108="Pulsen",'Datablad 3'!E129,IF($O$108="Sonic drilling",'Datablad 3'!E130,0))))</f>
        <v>0</v>
      </c>
      <c r="AH108" s="91">
        <f>'Datablad 1'!B2+'Datablad 1'!B11</f>
        <v>3.1357</v>
      </c>
      <c r="AI108" s="91">
        <f>AH108</f>
        <v>3.1357</v>
      </c>
      <c r="AJ108" s="11" t="s">
        <v>22</v>
      </c>
    </row>
    <row r="109" spans="1:36" ht="12.75">
      <c r="A109" s="6" t="s">
        <v>550</v>
      </c>
      <c r="B109" s="6" t="s">
        <v>552</v>
      </c>
      <c r="C109" s="287">
        <f>(((((((PI()*POWER($S$109/10,2))-(PI()*POWER(($S$109-V109)/10,2)))*($G$109*100))*Y109)/100)*AB109)*$I$109)+(IF($Q$109="Gestandaardiseerde berekening",$G$109*$I$109*'Datablad 3'!C131*AH109,$G$109*$I$109*AE109*AH109))</f>
        <v>0</v>
      </c>
      <c r="D109" s="287">
        <f>(((((((PI()*POWER($S$109/10,2))-(PI()*POWER(($S$109-W109)/10,2)))*($G$109*100))*Z109)/100)*AC109)*$I$109)+(IF($Q$109="Gestandaardiseerde berekening",$G$109*$I$109*'Datablad 3'!D131*AI109,$G$109*$I$109*AF109*AI109))</f>
        <v>0</v>
      </c>
      <c r="E109" s="7" t="s">
        <v>427</v>
      </c>
      <c r="G109" s="6">
        <f>Invoerscherm!E434</f>
        <v>0</v>
      </c>
      <c r="H109" s="35" t="str">
        <f>Invoerscherm!F434</f>
        <v>m</v>
      </c>
      <c r="I109" s="6">
        <f>Invoerscherm!G434</f>
        <v>0</v>
      </c>
      <c r="J109" s="35" t="str">
        <f>Invoerscherm!H434</f>
        <v>stuks</v>
      </c>
      <c r="K109" s="82" t="str">
        <f>Invoerscherm!I434</f>
        <v>&lt;&lt; maak keuze &gt;&gt;</v>
      </c>
      <c r="L109" s="11" t="s">
        <v>464</v>
      </c>
      <c r="M109" s="82" t="str">
        <f>Invoerscherm!L434</f>
        <v>&lt;&lt; maak keuze &gt;&gt;</v>
      </c>
      <c r="N109" s="11" t="s">
        <v>465</v>
      </c>
      <c r="O109" s="82" t="str">
        <f>Invoerscherm!O434</f>
        <v>&lt;&lt; maak keuze &gt;&gt;</v>
      </c>
      <c r="P109" s="11" t="s">
        <v>477</v>
      </c>
      <c r="Q109" s="110" t="str">
        <f>Invoerscherm!C428</f>
        <v>&lt;&lt; maak keuze &gt;&gt;</v>
      </c>
      <c r="R109" s="11" t="s">
        <v>505</v>
      </c>
      <c r="S109" s="48">
        <f>IF(M109="32 mm",32/2,IF(M109="50 mm",50/2,IF(M109="90 mm",90/2,IF(M109="110 mm",110/2,IF(M109="250 mm",250/2,0)))))</f>
        <v>0</v>
      </c>
      <c r="T109" s="35" t="s">
        <v>508</v>
      </c>
      <c r="V109" s="6">
        <f>IF($M$109="32 mm",'Datablad 3'!C142,IF($M$109="50 mm",'Datablad 3'!C143,IF($M$109="90 mm",'Datablad 3'!C144,IF($M$109="110 mm",'Datablad 3'!C145,IF($M$109="250 mm",'Datablad 3'!C146,0)))))</f>
        <v>0</v>
      </c>
      <c r="W109" s="6">
        <f>IF($M$109="32 mm",'Datablad 3'!D142,IF($M$109="50 mm",'Datablad 3'!D143,IF($M$109="90 mm",'Datablad 3'!D144,IF($M$109="110 mm",'Datablad 3'!D145,IF($M$109="250 mm",'Datablad 3'!D146,0)))))</f>
        <v>0</v>
      </c>
      <c r="X109" s="35">
        <f>IF($M$109="32 mm",'Datablad 3'!E142,IF($M$109="50 mm",'Datablad 3'!E143,IF($M$109="90 mm",'Datablad 3'!E144,IF($M$109="110 mm",'Datablad 3'!E145,IF($M$109="250 mm",'Datablad 3'!E146,0)))))</f>
        <v>0</v>
      </c>
      <c r="Y109" s="6">
        <f>IF($K$109="PVC",'Datablad 1'!B45,IF($K$109="HDPE",'Datablad 1'!B46,IF($K$109="LDPE",'Datablad 1'!B47,IF($K$109="RVS",'Datablad 1'!D52,0))))</f>
        <v>0</v>
      </c>
      <c r="Z109" s="6">
        <f t="shared" si="7"/>
        <v>0</v>
      </c>
      <c r="AA109" s="35">
        <f>IF($K$109="PVC",'Datablad 1'!C45,IF($K$109="HDPE",'Datablad 1'!C46,IF($K$109="LDPE",'Datablad 1'!C47,IF($K$109="RVS",'Datablad 1'!E52,0))))</f>
        <v>0</v>
      </c>
      <c r="AB109" s="91">
        <f>IF($K$109="PVC",'Datablad 3'!C137,IF($K$109="HDPE",'Datablad 3'!C138,IF($K$109="LDPE",'Datablad 3'!C139,IF($K$109="RVS",'Datablad 3'!C140,0))))</f>
        <v>0</v>
      </c>
      <c r="AC109" s="91">
        <f>IF($K$109="PVC",'Datablad 3'!D137,IF($K$109="HDPE",'Datablad 3'!D138,IF($K$109="LDPE",'Datablad 3'!D139,IF($K$109="RVS",'Datablad 3'!D140,0))))</f>
        <v>0</v>
      </c>
      <c r="AD109" s="108">
        <f>IF($K$109="PVC",'Datablad 3'!E137,IF($K$109="HDPE",'Datablad 3'!E138,IF($K$109="LDPE",'Datablad 3'!E139,IF($K$109="RVS",'Datablad 3'!E140,0))))</f>
        <v>0</v>
      </c>
      <c r="AE109" s="93">
        <f>IF($O$109="Avegaarboren",'Datablad 3'!C127,IF($O$109="Geoprobe",'Datablad 3'!C128,IF($O$109="Pulsen",'Datablad 3'!C129,IF($O$109="Sonic drilling",'Datablad 3'!C130,0))))</f>
        <v>0</v>
      </c>
      <c r="AF109" s="93">
        <f>IF($O$109="Avegaarboren",'Datablad 3'!D127,IF($O$109="Geoprobe",'Datablad 3'!D128,IF($O$109="Pulsen",'Datablad 3'!D129,IF($O$109="Sonic drilling",'Datablad 3'!D130,0))))</f>
        <v>0</v>
      </c>
      <c r="AG109" s="95">
        <f>IF($O$109="Avegaarboren",'Datablad 3'!E127,IF($O$109="Geoprobe",'Datablad 3'!E128,IF($O$109="Pulsen",'Datablad 3'!E129,IF($O$109="Sonic drilling",'Datablad 3'!E130,0))))</f>
        <v>0</v>
      </c>
      <c r="AH109" s="91">
        <f>'Datablad 1'!B2+'Datablad 1'!B11</f>
        <v>3.1357</v>
      </c>
      <c r="AI109" s="91">
        <f>AH109</f>
        <v>3.1357</v>
      </c>
      <c r="AJ109" s="11" t="s">
        <v>22</v>
      </c>
    </row>
    <row r="110" spans="1:36" ht="12.75">
      <c r="A110" s="6" t="s">
        <v>550</v>
      </c>
      <c r="B110" s="6" t="s">
        <v>553</v>
      </c>
      <c r="C110" s="287">
        <f>(((((((PI()*POWER($S$110/10,2))-(PI()*POWER(($S$110-V110)/10,2)))*($G$110*100))*Y110)/100)*AB110)*$I$110)+(IF($Q$110="Gestandaardiseerde berekening",$G$110*$I$110*'Datablad 3'!C131*AH110,$G$110*$I$110*AE110*AH110))</f>
        <v>0</v>
      </c>
      <c r="D110" s="287">
        <f>(((((((PI()*POWER($S$110/10,2))-(PI()*POWER(($S$110-W110)/10,2)))*($G$110*100))*Z110)/100)*AC110)*$I$110)+(IF($Q$110="Gestandaardiseerde berekening",$G$110*$I$110*'Datablad 3'!D131*AI110,$G$110*$I$110*AF110*AI110))</f>
        <v>0</v>
      </c>
      <c r="E110" s="7" t="s">
        <v>427</v>
      </c>
      <c r="G110" s="6">
        <f>Invoerscherm!E436</f>
        <v>0</v>
      </c>
      <c r="H110" s="35" t="str">
        <f>Invoerscherm!F436</f>
        <v>m</v>
      </c>
      <c r="I110" s="6">
        <f>Invoerscherm!G436</f>
        <v>0</v>
      </c>
      <c r="J110" s="35" t="str">
        <f>Invoerscherm!H436</f>
        <v>stuks</v>
      </c>
      <c r="K110" s="82" t="str">
        <f>Invoerscherm!I436</f>
        <v>&lt;&lt; maak keuze &gt;&gt;</v>
      </c>
      <c r="L110" s="11" t="s">
        <v>464</v>
      </c>
      <c r="M110" s="82" t="str">
        <f>Invoerscherm!L436</f>
        <v>&lt;&lt; maak keuze &gt;&gt;</v>
      </c>
      <c r="N110" s="11" t="s">
        <v>465</v>
      </c>
      <c r="O110" s="82" t="str">
        <f>Invoerscherm!O436</f>
        <v>&lt;&lt; maak keuze &gt;&gt;</v>
      </c>
      <c r="P110" s="11" t="s">
        <v>477</v>
      </c>
      <c r="Q110" s="110" t="str">
        <f>Invoerscherm!C428</f>
        <v>&lt;&lt; maak keuze &gt;&gt;</v>
      </c>
      <c r="R110" s="11" t="s">
        <v>505</v>
      </c>
      <c r="S110" s="48">
        <f>IF(M110="32 mm",32/2,IF(M110="50 mm",50/2,IF(M110="90 mm",90/2,IF(M110="110 mm",110/2,IF(M110="250 mm",250/2,0)))))</f>
        <v>0</v>
      </c>
      <c r="T110" s="35" t="s">
        <v>508</v>
      </c>
      <c r="V110" s="6">
        <f>IF($M$110="32 mm",'Datablad 3'!C142,IF($M$110="50 mm",'Datablad 3'!C143,IF($M$110="90 mm",'Datablad 3'!C144,IF($M$110="110 mm",'Datablad 3'!C145,IF($M$110="250 mm",'Datablad 3'!C146,0)))))</f>
        <v>0</v>
      </c>
      <c r="W110" s="6">
        <f>IF($M$110="32 mm",'Datablad 3'!D142,IF($M$110="50 mm",'Datablad 3'!D143,IF($M$110="90 mm",'Datablad 3'!D144,IF($M$110="110 mm",'Datablad 3'!D145,IF($M$110="250 mm",'Datablad 3'!D146,0)))))</f>
        <v>0</v>
      </c>
      <c r="X110" s="35">
        <f>IF($M$110="32 mm",'Datablad 3'!E142,IF($M$110="50 mm",'Datablad 3'!E143,IF($M$110="90 mm",'Datablad 3'!E144,IF($M$110="110 mm",'Datablad 3'!E145,IF($M$110="250 mm",'Datablad 3'!E146,0)))))</f>
        <v>0</v>
      </c>
      <c r="Y110" s="6">
        <f>IF($K$110="PVC",'Datablad 1'!B45,IF($K$110="HDPE",'Datablad 1'!B46,IF($K$110="LDPE",'Datablad 1'!B47,IF($K$110="RVS",'Datablad 1'!D52,0))))</f>
        <v>0</v>
      </c>
      <c r="Z110" s="6">
        <f t="shared" si="7"/>
        <v>0</v>
      </c>
      <c r="AA110" s="35">
        <f>IF($K$110="PVC",'Datablad 1'!C45,IF($K$110="HDPE",'Datablad 1'!C46,IF($K$110="LDPE",'Datablad 1'!C47,IF($K$110="RVS",'Datablad 1'!E52,0))))</f>
        <v>0</v>
      </c>
      <c r="AB110" s="91">
        <f>IF($K$110="PVC",'Datablad 3'!C137,IF($K$110="HDPE",'Datablad 3'!C138,IF($K$110="LDPE",'Datablad 3'!C139,IF($K$110="RVS",'Datablad 3'!C140,0))))</f>
        <v>0</v>
      </c>
      <c r="AC110" s="91">
        <f>IF($K$110="PVC",'Datablad 3'!D137,IF($K$110="HDPE",'Datablad 3'!D138,IF($K$110="LDPE",'Datablad 3'!D139,IF($K$110="RVS",'Datablad 3'!D140,0))))</f>
        <v>0</v>
      </c>
      <c r="AD110" s="108">
        <f>IF($K$110="PVC",'Datablad 3'!E137,IF($K$110="HDPE",'Datablad 3'!E138,IF($K$110="LDPE",'Datablad 3'!E139,IF($K$110="RVS",'Datablad 3'!E140,0))))</f>
        <v>0</v>
      </c>
      <c r="AE110" s="93">
        <f>IF($O$110="Avegaarboren",'Datablad 3'!C127,IF($O$110="Geoprobe",'Datablad 3'!C128,IF($O$110="Pulsen",'Datablad 3'!C129,IF($O$110="Sonic drilling",'Datablad 3'!C130,0))))</f>
        <v>0</v>
      </c>
      <c r="AF110" s="93">
        <f>IF($O$110="Avegaarboren",'Datablad 3'!D127,IF($O$110="Geoprobe",'Datablad 3'!D128,IF($O$110="Pulsen",'Datablad 3'!D129,IF($O$110="Sonic drilling",'Datablad 3'!D130,0))))</f>
        <v>0</v>
      </c>
      <c r="AG110" s="95">
        <f>IF($O$110="Avegaarboren",'Datablad 3'!E127,IF($O$110="Geoprobe",'Datablad 3'!E128,IF($O$110="Pulsen",'Datablad 3'!E129,IF($O$110="Sonic drilling",'Datablad 3'!E130,0))))</f>
        <v>0</v>
      </c>
      <c r="AH110" s="91">
        <f>'Datablad 1'!B2+'Datablad 1'!B11</f>
        <v>3.1357</v>
      </c>
      <c r="AI110" s="91">
        <f>AH110</f>
        <v>3.1357</v>
      </c>
      <c r="AJ110" s="11" t="s">
        <v>22</v>
      </c>
    </row>
    <row r="111" spans="1:36" ht="12.75">
      <c r="A111" s="6" t="s">
        <v>550</v>
      </c>
      <c r="B111" s="6" t="s">
        <v>554</v>
      </c>
      <c r="C111" s="287">
        <f>(((((((PI()*POWER($S$111/10,2))-(PI()*POWER(($S$111-V111)/10,2)))*($G$111*100))*Y111)/100)*AB111)*$I$111)+(IF($Q$111="Gestandaardiseerde berekening",$G$111*$I$111*'Datablad 3'!C131*AH111,$G$111*$I$111*AE111*AH111))</f>
        <v>0</v>
      </c>
      <c r="D111" s="287">
        <f>(((((((PI()*POWER($S$111/10,2))-(PI()*POWER(($S$111-W111)/10,2)))*($G$111*100))*Z111)/100)*AC111)*$I$111)+(IF($Q$111="Gestandaardiseerde berekening",$G$111*$I$111*'Datablad 3'!D131*AI111,$G$111*$I$111*AF111*AI111))</f>
        <v>0</v>
      </c>
      <c r="E111" s="7" t="s">
        <v>427</v>
      </c>
      <c r="G111" s="6">
        <f>Invoerscherm!E438</f>
        <v>0</v>
      </c>
      <c r="H111" s="35" t="str">
        <f>Invoerscherm!F438</f>
        <v>m</v>
      </c>
      <c r="I111" s="6">
        <f>Invoerscherm!G438</f>
        <v>0</v>
      </c>
      <c r="J111" s="35" t="str">
        <f>Invoerscherm!H438</f>
        <v>stuks</v>
      </c>
      <c r="K111" s="82" t="str">
        <f>Invoerscherm!I438</f>
        <v>&lt;&lt; maak keuze &gt;&gt;</v>
      </c>
      <c r="L111" s="11" t="s">
        <v>464</v>
      </c>
      <c r="M111" s="82" t="str">
        <f>Invoerscherm!L438</f>
        <v>&lt;&lt; maak keuze &gt;&gt;</v>
      </c>
      <c r="N111" s="11" t="s">
        <v>465</v>
      </c>
      <c r="O111" s="82" t="str">
        <f>Invoerscherm!O438</f>
        <v>&lt;&lt; maak keuze &gt;&gt;</v>
      </c>
      <c r="P111" s="11" t="s">
        <v>477</v>
      </c>
      <c r="Q111" s="110" t="str">
        <f>Invoerscherm!C428</f>
        <v>&lt;&lt; maak keuze &gt;&gt;</v>
      </c>
      <c r="R111" s="11" t="s">
        <v>505</v>
      </c>
      <c r="S111" s="48">
        <f>IF(M111="32 mm",32/2,IF(M111="50 mm",50/2,IF(M111="90 mm",90/2,IF(M111="110 mm",110/2,IF(M111="250 mm",250/2,0)))))</f>
        <v>0</v>
      </c>
      <c r="T111" s="35" t="s">
        <v>508</v>
      </c>
      <c r="V111" s="6">
        <f>IF($M$111="32 mm",'Datablad 3'!C142,IF($M$111="50 mm",'Datablad 3'!C143,IF($M$111="90 mm",'Datablad 3'!C144,IF($M$111="110 mm",'Datablad 3'!C145,IF($M$111="250 mm",'Datablad 3'!C146,0)))))</f>
        <v>0</v>
      </c>
      <c r="W111" s="6">
        <f>IF($M$111="32 mm",'Datablad 3'!D142,IF($M$111="50 mm",'Datablad 3'!D143,IF($M$111="90 mm",'Datablad 3'!D144,IF($M$111="110 mm",'Datablad 3'!D145,IF($M$111="250 mm",'Datablad 3'!D146,0)))))</f>
        <v>0</v>
      </c>
      <c r="X111" s="35">
        <f>IF($M$111="32 mm",'Datablad 3'!E142,IF($M$111="50 mm",'Datablad 3'!E143,IF($M$111="90 mm",'Datablad 3'!E144,IF($M$111="110 mm",'Datablad 3'!E145,IF($M$111="250 mm",'Datablad 3'!E146,0)))))</f>
        <v>0</v>
      </c>
      <c r="Y111" s="6">
        <f>IF($K$111="PVC",'Datablad 1'!B45,IF($K$111="HDPE",'Datablad 1'!B46,IF($K$111="LDPE",'Datablad 1'!B47,IF($K$111="RVS",'Datablad 1'!D52,0))))</f>
        <v>0</v>
      </c>
      <c r="Z111" s="6">
        <f t="shared" si="7"/>
        <v>0</v>
      </c>
      <c r="AA111" s="35">
        <f>IF($K$111="PVC",'Datablad 1'!C45,IF($K$111="HDPE",'Datablad 1'!C46,IF($K$111="LDPE",'Datablad 1'!C47,IF($K$111="RVS",'Datablad 1'!E52,0))))</f>
        <v>0</v>
      </c>
      <c r="AB111" s="91">
        <f>IF($K$111="PVC",'Datablad 3'!C137,IF($K$111="HDPE",'Datablad 3'!C138,IF($K$111="LDPE",'Datablad 3'!C139,IF($K$111="RVS",'Datablad 3'!C140,0))))</f>
        <v>0</v>
      </c>
      <c r="AC111" s="91">
        <f>IF($K$111="PVC",'Datablad 3'!D137,IF($K$111="HDPE",'Datablad 3'!D138,IF($K$111="LDPE",'Datablad 3'!D139,IF($K$111="RVS",'Datablad 3'!D140,0))))</f>
        <v>0</v>
      </c>
      <c r="AD111" s="108">
        <f>IF($K$111="PVC",'Datablad 3'!E137,IF($K$111="HDPE",'Datablad 3'!E138,IF($K$111="LDPE",'Datablad 3'!E139,IF($K$111="RVS",'Datablad 3'!E140,0))))</f>
        <v>0</v>
      </c>
      <c r="AE111" s="93">
        <f>IF($O$111="Avegaarboren",'Datablad 3'!C127,IF($O$111="Geoprobe",'Datablad 3'!C128,IF($O$111="Pulsen",'Datablad 3'!C129,IF($O$111="Sonic drilling",'Datablad 3'!C130,0))))</f>
        <v>0</v>
      </c>
      <c r="AF111" s="93">
        <f>IF($O$111="Avegaarboren",'Datablad 3'!D127,IF($O$111="Geoprobe",'Datablad 3'!D128,IF($O$111="Pulsen",'Datablad 3'!D129,IF($O$111="Sonic drilling",'Datablad 3'!D130,0))))</f>
        <v>0</v>
      </c>
      <c r="AG111" s="95">
        <f>IF($O$111="Avegaarboren",'Datablad 3'!E127,IF($O$111="Geoprobe",'Datablad 3'!E128,IF($O$111="Pulsen",'Datablad 3'!E129,IF($O$111="Sonic drilling",'Datablad 3'!E130,0))))</f>
        <v>0</v>
      </c>
      <c r="AH111" s="91">
        <f>'Datablad 1'!B2+'Datablad 1'!B11</f>
        <v>3.1357</v>
      </c>
      <c r="AI111" s="91">
        <f>AH111</f>
        <v>3.1357</v>
      </c>
      <c r="AJ111" s="11" t="s">
        <v>22</v>
      </c>
    </row>
    <row r="112" spans="1:27" ht="12.75">
      <c r="A112" s="6" t="s">
        <v>542</v>
      </c>
      <c r="B112" s="6" t="s">
        <v>579</v>
      </c>
      <c r="C112" s="273">
        <f>(($I$112*24)*V112*Y112)*$G$112</f>
        <v>0</v>
      </c>
      <c r="D112" s="273">
        <f>(($I$112*24)*W112*Z112)*$G$112</f>
        <v>0</v>
      </c>
      <c r="E112" s="7" t="s">
        <v>427</v>
      </c>
      <c r="G112" s="6">
        <f>Invoerscherm!F455</f>
        <v>0</v>
      </c>
      <c r="H112" s="35" t="str">
        <f>Invoerscherm!G455</f>
        <v>stuks</v>
      </c>
      <c r="I112" s="6">
        <f>Invoerscherm!H455</f>
        <v>0</v>
      </c>
      <c r="J112" s="35" t="str">
        <f>Invoerscherm!I455</f>
        <v>dagen</v>
      </c>
      <c r="K112" s="82" t="str">
        <f>Invoerscherm!J455</f>
        <v>&lt;&lt; maak keuze &gt;&gt;</v>
      </c>
      <c r="L112" s="11" t="s">
        <v>442</v>
      </c>
      <c r="V112" s="6">
        <f>'Datablad 3'!C73</f>
        <v>4</v>
      </c>
      <c r="W112" s="6">
        <f>'Datablad 3'!D73</f>
        <v>4</v>
      </c>
      <c r="X112" s="35" t="str">
        <f>'Datablad 3'!E73</f>
        <v>kWh</v>
      </c>
      <c r="Y112" s="6">
        <f>IF($K$112="Grijze stroom",'Datablad 1'!B29,IF($K$112="Groene stroom",'Datablad 1'!B30,IF($K$112="Directe windenergie",'Datablad 1'!B31,IF($K$112="Directe zonne-energie",'Datablad 1'!B32,IF($K$112="Directe waterkracht",'Datablad 1'!B33,IF($K$112="Directe biomassa",'Datablad 1'!B34,0))))))</f>
        <v>0</v>
      </c>
      <c r="Z112" s="6">
        <f aca="true" t="shared" si="8" ref="Z112:Z117">Y112</f>
        <v>0</v>
      </c>
      <c r="AA112" s="35">
        <f>IF($K$112="Grijze stroom",'Datablad 1'!C29,IF($K$112="Groene stroom",'Datablad 1'!C30,IF($K$112="Directe windenergie",'Datablad 1'!C31,IF($K$112="Directe zonne-energie",'Datablad 1'!C32,IF($K$112="Directe waterkracht",'Datablad 1'!C33,IF($K$112="Directe biomassa",'Datablad 1'!C34,0))))))</f>
        <v>0</v>
      </c>
    </row>
    <row r="113" spans="1:27" ht="12.75">
      <c r="A113" s="6" t="s">
        <v>542</v>
      </c>
      <c r="B113" s="6" t="s">
        <v>580</v>
      </c>
      <c r="C113" s="273">
        <f>(($I$113*24)*V113*Y113)*$G$113</f>
        <v>0</v>
      </c>
      <c r="D113" s="273">
        <f>(($I$113*24)*W113*Z113)*$G$113</f>
        <v>0</v>
      </c>
      <c r="E113" s="7" t="s">
        <v>427</v>
      </c>
      <c r="G113" s="6">
        <f>Invoerscherm!F457</f>
        <v>0</v>
      </c>
      <c r="H113" s="35" t="str">
        <f>Invoerscherm!G457</f>
        <v>stuks</v>
      </c>
      <c r="I113" s="6">
        <f>Invoerscherm!H457</f>
        <v>0</v>
      </c>
      <c r="J113" s="35" t="str">
        <f>Invoerscherm!I457</f>
        <v>dagen</v>
      </c>
      <c r="K113" s="82" t="str">
        <f>Invoerscherm!J455</f>
        <v>&lt;&lt; maak keuze &gt;&gt;</v>
      </c>
      <c r="L113" s="11" t="s">
        <v>442</v>
      </c>
      <c r="V113" s="6">
        <f>'Datablad 3'!C74</f>
        <v>8</v>
      </c>
      <c r="W113" s="6">
        <f>'Datablad 3'!D74</f>
        <v>8</v>
      </c>
      <c r="X113" s="35" t="str">
        <f>'Datablad 3'!E74</f>
        <v>kWh</v>
      </c>
      <c r="Y113" s="6">
        <f>IF($K$113="Grijze stroom",'Datablad 1'!B29,IF($K$113="Groene stroom",'Datablad 1'!B30,IF($K$113="Directe windenergie",'Datablad 1'!B31,IF($K$113="Directe zonne-energie",'Datablad 1'!B32,IF($K$113="Directe waterkracht",'Datablad 1'!B33,IF($K$113="Directe biomassa",'Datablad 1'!B34,0))))))</f>
        <v>0</v>
      </c>
      <c r="Z113" s="6">
        <f t="shared" si="8"/>
        <v>0</v>
      </c>
      <c r="AA113" s="35">
        <f>IF($K$113="Grijze stroom",'Datablad 1'!C29,IF($K$113="Groene stroom",'Datablad 1'!C30,IF($K$113="Directe windenergie",'Datablad 1'!C31,IF($K$113="Directe zonne-energie",'Datablad 1'!C32,IF($K$113="Directe waterkracht",'Datablad 1'!C33,IF($K$113="Directe biomassa",'Datablad 1'!C34,0))))))</f>
        <v>0</v>
      </c>
    </row>
    <row r="114" spans="1:27" ht="12.75">
      <c r="A114" s="6" t="s">
        <v>542</v>
      </c>
      <c r="B114" s="6" t="s">
        <v>581</v>
      </c>
      <c r="C114" s="273">
        <f>(($I$114*24)*V114*Y114)*$G$114</f>
        <v>0</v>
      </c>
      <c r="D114" s="273">
        <f>(($I$114*24)*W114*Z114)*$G$114</f>
        <v>0</v>
      </c>
      <c r="E114" s="7" t="s">
        <v>427</v>
      </c>
      <c r="G114" s="6">
        <f>Invoerscherm!F459</f>
        <v>0</v>
      </c>
      <c r="H114" s="35" t="str">
        <f>Invoerscherm!G459</f>
        <v>stuks</v>
      </c>
      <c r="I114" s="6">
        <f>Invoerscherm!H459</f>
        <v>0</v>
      </c>
      <c r="J114" s="35" t="str">
        <f>Invoerscherm!I459</f>
        <v>dagen</v>
      </c>
      <c r="K114" s="82" t="str">
        <f>Invoerscherm!J455</f>
        <v>&lt;&lt; maak keuze &gt;&gt;</v>
      </c>
      <c r="L114" s="11" t="s">
        <v>442</v>
      </c>
      <c r="V114" s="6">
        <f>'Datablad 3'!C75</f>
        <v>12</v>
      </c>
      <c r="W114" s="6">
        <f>'Datablad 3'!D75</f>
        <v>13</v>
      </c>
      <c r="X114" s="35" t="str">
        <f>'Datablad 3'!E75</f>
        <v>kWh</v>
      </c>
      <c r="Y114" s="6">
        <f>IF($K$114="Grijze stroom",'Datablad 1'!B29,IF($K$114="Groene stroom",'Datablad 1'!B30,IF($K$114="Directe windenergie",'Datablad 1'!B31,IF($K$114="Directe zonne-energie",'Datablad 1'!B32,IF($K$114="Directe waterkracht",'Datablad 1'!B33,IF($K$114="Directe biomassa",'Datablad 1'!B34,0))))))</f>
        <v>0</v>
      </c>
      <c r="Z114" s="6">
        <f t="shared" si="8"/>
        <v>0</v>
      </c>
      <c r="AA114" s="35">
        <f>IF($K$114="Grijze stroom",'Datablad 1'!C29,IF($K$114="Groene stroom",'Datablad 1'!C30,IF($K$114="Directe windenergie",'Datablad 1'!C31,IF($K$114="Directe zonne-energie",'Datablad 1'!C32,IF($K$114="Directe waterkracht",'Datablad 1'!C33,IF($K$114="Directe biomassa",'Datablad 1'!C34,0))))))</f>
        <v>0</v>
      </c>
    </row>
    <row r="115" spans="1:30" ht="12.75">
      <c r="A115" s="6" t="s">
        <v>542</v>
      </c>
      <c r="B115" s="6" t="s">
        <v>586</v>
      </c>
      <c r="C115" s="287">
        <f>($G$115*(V115/1000)*Y115)+($I$115*AB115)</f>
        <v>0</v>
      </c>
      <c r="D115" s="287">
        <f>($G$115*(W115/1000)*Z115)+($I$115*AC115)</f>
        <v>0</v>
      </c>
      <c r="E115" s="7" t="s">
        <v>427</v>
      </c>
      <c r="G115" s="85">
        <f>Invoerscherm!F463</f>
        <v>0</v>
      </c>
      <c r="H115" s="95" t="str">
        <f>Invoerscherm!G463</f>
        <v>m³ lucht</v>
      </c>
      <c r="I115" s="85">
        <f>Invoerscherm!H463</f>
        <v>0</v>
      </c>
      <c r="J115" s="95" t="str">
        <f>Invoerscherm!I463</f>
        <v>kg kool</v>
      </c>
      <c r="K115" s="82" t="str">
        <f>Invoerscherm!J463</f>
        <v>&lt;&lt; maak keuze &gt;&gt;</v>
      </c>
      <c r="L115" s="11" t="s">
        <v>442</v>
      </c>
      <c r="O115" s="48"/>
      <c r="V115" s="6">
        <f>'Datablad 3'!C116</f>
        <v>0.5</v>
      </c>
      <c r="W115" s="6">
        <f>'Datablad 3'!D116</f>
        <v>0.5</v>
      </c>
      <c r="X115" s="35" t="str">
        <f>'Datablad 3'!E116</f>
        <v>kWh / 1000 m3 lucht</v>
      </c>
      <c r="Y115" s="6">
        <f>IF($K$115="Grijze stroom",'Datablad 1'!B29,IF($K$115="Groene stroom",'Datablad 1'!B30,IF($K$115="Directe windenergie",'Datablad 1'!B31,IF($K$115="Directe zonne-energie",'Datablad 1'!B32,IF($K$115="Directe waterkracht",'Datablad 1'!B33,IF($K$115="Directe biomassa",'Datablad 1'!B34,0))))))</f>
        <v>0</v>
      </c>
      <c r="Z115" s="6">
        <f t="shared" si="8"/>
        <v>0</v>
      </c>
      <c r="AA115" s="35">
        <f>IF($K$115="Grijze stroom",'Datablad 1'!C29,IF($K$115="Groene stroom",'Datablad 1'!C30,IF($K$115="Directe windenergie",'Datablad 1'!C31,IF($K$115="Directe zonne-energie",'Datablad 1'!C32,IF($K$115="Directe waterkracht",'Datablad 1'!C33,IF($K$115="Directe biomassa",'Datablad 1'!C34,0))))))</f>
        <v>0</v>
      </c>
      <c r="AB115" s="85">
        <f>'Datablad 3'!C118+'Datablad 3'!C119</f>
        <v>0.1</v>
      </c>
      <c r="AC115" s="85">
        <f>'Datablad 3'!D118+'Datablad 3'!D119</f>
        <v>0.1</v>
      </c>
      <c r="AD115" s="126" t="s">
        <v>729</v>
      </c>
    </row>
    <row r="116" spans="1:27" ht="12.75">
      <c r="A116" s="6" t="s">
        <v>542</v>
      </c>
      <c r="B116" s="6" t="s">
        <v>587</v>
      </c>
      <c r="C116" s="287">
        <f>$G$116*(V116/1000)*Y116</f>
        <v>0</v>
      </c>
      <c r="D116" s="287">
        <f>$G$116*(W116/1000)*Z116</f>
        <v>0</v>
      </c>
      <c r="E116" s="7" t="s">
        <v>427</v>
      </c>
      <c r="G116" s="6">
        <f>Invoerscherm!F465</f>
        <v>0</v>
      </c>
      <c r="H116" s="35" t="str">
        <f>Invoerscherm!G465</f>
        <v>m³ lucht</v>
      </c>
      <c r="K116" s="82" t="str">
        <f>Invoerscherm!J465</f>
        <v>&lt;&lt; maak keuze &gt;&gt;</v>
      </c>
      <c r="L116" s="11" t="s">
        <v>442</v>
      </c>
      <c r="V116" s="6">
        <f>'Datablad 3'!C120</f>
        <v>1</v>
      </c>
      <c r="W116" s="6">
        <f>'Datablad 3'!D120</f>
        <v>2</v>
      </c>
      <c r="X116" s="35" t="str">
        <f>'Datablad 3'!E120</f>
        <v>kWh / 1000 m3 lucht</v>
      </c>
      <c r="Y116" s="6">
        <f>IF($K$116="Grijze stroom",'Datablad 1'!B29,IF($K$116="Groene stroom",'Datablad 1'!B30,IF($K$116="Directe windenergie",'Datablad 1'!B31,IF($K$116="Directe zonne-energie",'Datablad 1'!B32,IF($K$116="Directe waterkracht",'Datablad 1'!B33,IF($K$116="Directe biomassa",'Datablad 1'!B34,0))))))</f>
        <v>0</v>
      </c>
      <c r="Z116" s="6">
        <f t="shared" si="8"/>
        <v>0</v>
      </c>
      <c r="AA116" s="35">
        <f>IF($K$116="Grijze stroom",'Datablad 1'!C29,IF($K$116="Groene stroom",'Datablad 1'!C30,IF($K$116="Directe windenergie",'Datablad 1'!C31,IF($K$116="Directe zonne-energie",'Datablad 1'!C32,IF($K$116="Directe waterkracht",'Datablad 1'!C33,IF($K$116="Directe biomassa",'Datablad 1'!C34,0))))))</f>
        <v>0</v>
      </c>
    </row>
    <row r="117" spans="1:27" ht="12.75">
      <c r="A117" s="6" t="s">
        <v>542</v>
      </c>
      <c r="B117" s="6" t="s">
        <v>588</v>
      </c>
      <c r="C117" s="287">
        <f>$G$117*(V117/1000)*Y117</f>
        <v>0</v>
      </c>
      <c r="D117" s="287">
        <f>$G$117*(W117/1000)*Z117</f>
        <v>0</v>
      </c>
      <c r="E117" s="7" t="s">
        <v>427</v>
      </c>
      <c r="G117" s="6">
        <f>Invoerscherm!F467</f>
        <v>0</v>
      </c>
      <c r="H117" s="35" t="str">
        <f>Invoerscherm!G467</f>
        <v>m³ lucht</v>
      </c>
      <c r="K117" s="82" t="str">
        <f>Invoerscherm!J467</f>
        <v>&lt;&lt; maak keuze &gt;&gt;</v>
      </c>
      <c r="L117" s="11" t="s">
        <v>442</v>
      </c>
      <c r="V117" s="6">
        <f>'Datablad 3'!C121</f>
        <v>3</v>
      </c>
      <c r="W117" s="6">
        <f>'Datablad 3'!D121</f>
        <v>5</v>
      </c>
      <c r="X117" s="35" t="str">
        <f>'Datablad 3'!E121</f>
        <v>kWh / 1000 m3 lucht</v>
      </c>
      <c r="Y117" s="6">
        <f>IF($K$117="Grijze stroom",'Datablad 1'!B29,IF($K$117="Groene stroom",'Datablad 1'!B30,IF($K$117="Directe windenergie",'Datablad 1'!B31,IF($K$117="Directe zonne-energie",'Datablad 1'!B32,IF($K$117="Directe waterkracht",'Datablad 1'!B33,IF($K$117="Directe biomassa",'Datablad 1'!B34,0))))))</f>
        <v>0</v>
      </c>
      <c r="Z117" s="6">
        <f t="shared" si="8"/>
        <v>0</v>
      </c>
      <c r="AA117" s="35">
        <f>IF($K$117="Grijze stroom",'Datablad 1'!C29,IF($K$117="Groene stroom",'Datablad 1'!C30,IF($K$117="Directe windenergie",'Datablad 1'!C31,IF($K$117="Directe zonne-energie",'Datablad 1'!C32,IF($K$117="Directe waterkracht",'Datablad 1'!C33,IF($K$117="Directe biomassa",'Datablad 1'!C34,0))))))</f>
        <v>0</v>
      </c>
    </row>
    <row r="118" spans="1:24" ht="12.75">
      <c r="A118" s="6" t="s">
        <v>444</v>
      </c>
      <c r="B118" s="6" t="s">
        <v>428</v>
      </c>
      <c r="C118" s="273">
        <f>$G$118*$I$118*$K$118*V118*1.5</f>
        <v>0</v>
      </c>
      <c r="D118" s="273">
        <f>$G$118*$I$118*$K$118*W118*1.5</f>
        <v>0</v>
      </c>
      <c r="E118" s="7" t="s">
        <v>427</v>
      </c>
      <c r="G118" s="6">
        <f>Invoerscherm!C474</f>
        <v>0</v>
      </c>
      <c r="H118" s="35" t="str">
        <f>Invoerscherm!D474</f>
        <v>km</v>
      </c>
      <c r="I118" s="6">
        <f>Invoerscherm!C478</f>
        <v>0</v>
      </c>
      <c r="J118" s="35" t="str">
        <f>Invoerscherm!D478</f>
        <v>aantal keer rijden</v>
      </c>
      <c r="K118" s="44">
        <f>Invoerscherm!C482</f>
        <v>0</v>
      </c>
      <c r="L118" s="106" t="str">
        <f>Invoerscherm!D482</f>
        <v>L brandstof / km</v>
      </c>
      <c r="M118" s="82" t="str">
        <f>Invoerscherm!C486</f>
        <v>&lt;&lt; maak keuze &gt;&gt;</v>
      </c>
      <c r="N118" s="11" t="s">
        <v>422</v>
      </c>
      <c r="V118" s="44">
        <f>IF($M$118="Diesel",'Datablad 1'!B2+'Datablad 1'!B11,IF($M$118="Benzine",'Datablad 1'!B3+'Datablad 1'!B412,IF($M$118="LPG",'Datablad 1'!B4+'Datablad 1'!B13,IF($M$118="Biodiesel",'Datablad 1'!B8+'Datablad 1'!B17,0))))</f>
        <v>0</v>
      </c>
      <c r="W118" s="44">
        <f>V118</f>
        <v>0</v>
      </c>
      <c r="X118" s="35" t="s">
        <v>496</v>
      </c>
    </row>
    <row r="119" ht="12.75"/>
    <row r="120" spans="1:4" ht="12.75">
      <c r="A120" s="120" t="s">
        <v>463</v>
      </c>
      <c r="B120" s="121"/>
      <c r="C120" s="274">
        <f>SUM(C96:C103,C108:C111)</f>
        <v>0</v>
      </c>
      <c r="D120" s="274">
        <f>SUM(D96:D103,D108:D111)</f>
        <v>0</v>
      </c>
    </row>
    <row r="121" spans="1:4" ht="12.75">
      <c r="A121" s="120" t="s">
        <v>542</v>
      </c>
      <c r="B121" s="121"/>
      <c r="C121" s="274">
        <f>SUM(C104:C106,C112:C117)</f>
        <v>0</v>
      </c>
      <c r="D121" s="274">
        <f>SUM(D104:D106,D112:D117)</f>
        <v>0</v>
      </c>
    </row>
    <row r="122" spans="1:4" ht="12.75">
      <c r="A122" s="122" t="s">
        <v>546</v>
      </c>
      <c r="B122" s="123"/>
      <c r="C122" s="274">
        <f>C107</f>
        <v>0</v>
      </c>
      <c r="D122" s="274">
        <f>D107</f>
        <v>0</v>
      </c>
    </row>
    <row r="123" spans="1:4" ht="12.75">
      <c r="A123" s="122" t="s">
        <v>444</v>
      </c>
      <c r="C123" s="274">
        <f>C118</f>
        <v>0</v>
      </c>
      <c r="D123" s="274">
        <f>D118</f>
        <v>0</v>
      </c>
    </row>
    <row r="124" ht="12.75"/>
    <row r="125" ht="12.75"/>
    <row r="126" ht="12.75"/>
    <row r="127" spans="3:39" s="42" customFormat="1" ht="12.75">
      <c r="C127" s="280"/>
      <c r="D127" s="280"/>
      <c r="H127" s="281"/>
      <c r="J127" s="281"/>
      <c r="L127" s="281"/>
      <c r="N127" s="281"/>
      <c r="P127" s="281"/>
      <c r="Q127" s="282"/>
      <c r="R127" s="281"/>
      <c r="S127" s="282"/>
      <c r="T127" s="281"/>
      <c r="X127" s="281"/>
      <c r="AA127" s="281"/>
      <c r="AD127" s="281"/>
      <c r="AG127" s="281"/>
      <c r="AJ127" s="281"/>
      <c r="AM127" s="281"/>
    </row>
    <row r="128" spans="1:39" ht="15.75">
      <c r="A128" s="87" t="s">
        <v>589</v>
      </c>
      <c r="G128" s="13" t="s">
        <v>227</v>
      </c>
      <c r="H128" s="9"/>
      <c r="I128" s="3"/>
      <c r="J128" s="9"/>
      <c r="K128" s="3"/>
      <c r="L128" s="9"/>
      <c r="M128" s="3"/>
      <c r="N128" s="9"/>
      <c r="O128" s="3"/>
      <c r="P128" s="9"/>
      <c r="Q128" s="9"/>
      <c r="R128" s="9"/>
      <c r="S128" s="9"/>
      <c r="T128" s="9"/>
      <c r="U128" s="34"/>
      <c r="V128" s="1" t="s">
        <v>228</v>
      </c>
      <c r="W128" s="1"/>
      <c r="X128" s="9"/>
      <c r="Y128" s="3"/>
      <c r="Z128" s="3"/>
      <c r="AA128" s="9"/>
      <c r="AB128" s="3"/>
      <c r="AC128" s="3"/>
      <c r="AD128" s="9"/>
      <c r="AE128" s="3"/>
      <c r="AF128" s="3"/>
      <c r="AG128" s="9"/>
      <c r="AH128" s="3"/>
      <c r="AI128" s="3"/>
      <c r="AJ128" s="9"/>
      <c r="AK128" s="3"/>
      <c r="AL128" s="3"/>
      <c r="AM128" s="9"/>
    </row>
    <row r="129" spans="7:38" ht="12.75">
      <c r="G129"/>
      <c r="I129"/>
      <c r="K129"/>
      <c r="M129"/>
      <c r="O129"/>
      <c r="Q129" s="35"/>
      <c r="S129" s="35"/>
      <c r="U129" s="36"/>
      <c r="V129"/>
      <c r="W129"/>
      <c r="Y129"/>
      <c r="Z129"/>
      <c r="AB129"/>
      <c r="AC129"/>
      <c r="AE129"/>
      <c r="AF129"/>
      <c r="AH129"/>
      <c r="AI129"/>
      <c r="AK129"/>
      <c r="AL129"/>
    </row>
    <row r="130" spans="1:39" ht="12.75">
      <c r="A130" s="14" t="s">
        <v>229</v>
      </c>
      <c r="B130" s="14" t="s">
        <v>230</v>
      </c>
      <c r="C130" s="272" t="s">
        <v>231</v>
      </c>
      <c r="D130" s="272" t="s">
        <v>232</v>
      </c>
      <c r="E130" s="37" t="s">
        <v>233</v>
      </c>
      <c r="G130" s="14" t="s">
        <v>234</v>
      </c>
      <c r="H130" s="37" t="s">
        <v>233</v>
      </c>
      <c r="I130" s="14" t="s">
        <v>235</v>
      </c>
      <c r="J130" s="37" t="s">
        <v>233</v>
      </c>
      <c r="K130" s="14" t="s">
        <v>236</v>
      </c>
      <c r="L130" s="37" t="s">
        <v>233</v>
      </c>
      <c r="M130" s="14" t="s">
        <v>237</v>
      </c>
      <c r="N130" s="37" t="s">
        <v>233</v>
      </c>
      <c r="O130" s="14" t="s">
        <v>238</v>
      </c>
      <c r="P130" s="37" t="s">
        <v>233</v>
      </c>
      <c r="Q130" s="14" t="s">
        <v>421</v>
      </c>
      <c r="R130" s="37" t="s">
        <v>233</v>
      </c>
      <c r="S130" s="14" t="s">
        <v>507</v>
      </c>
      <c r="T130" s="37" t="s">
        <v>233</v>
      </c>
      <c r="U130" s="38"/>
      <c r="V130" s="14" t="s">
        <v>239</v>
      </c>
      <c r="W130" s="14" t="s">
        <v>240</v>
      </c>
      <c r="X130" s="37" t="s">
        <v>233</v>
      </c>
      <c r="Y130" s="14" t="s">
        <v>241</v>
      </c>
      <c r="Z130" s="14" t="s">
        <v>242</v>
      </c>
      <c r="AA130" s="37" t="s">
        <v>233</v>
      </c>
      <c r="AB130" s="14" t="s">
        <v>243</v>
      </c>
      <c r="AC130" s="14" t="s">
        <v>244</v>
      </c>
      <c r="AD130" s="37" t="s">
        <v>233</v>
      </c>
      <c r="AE130" s="14" t="s">
        <v>245</v>
      </c>
      <c r="AF130" s="14" t="s">
        <v>246</v>
      </c>
      <c r="AG130" s="37" t="s">
        <v>233</v>
      </c>
      <c r="AH130" s="14" t="s">
        <v>247</v>
      </c>
      <c r="AI130" s="14" t="s">
        <v>248</v>
      </c>
      <c r="AJ130" s="37" t="s">
        <v>233</v>
      </c>
      <c r="AK130" s="14" t="s">
        <v>249</v>
      </c>
      <c r="AL130" s="14" t="s">
        <v>250</v>
      </c>
      <c r="AM130" s="37" t="s">
        <v>233</v>
      </c>
    </row>
    <row r="131" spans="1:36" ht="12.75">
      <c r="A131" s="6" t="s">
        <v>463</v>
      </c>
      <c r="B131" s="6" t="s">
        <v>551</v>
      </c>
      <c r="C131" s="287">
        <f>(((((((PI()*POWER($S$131/10,2))-(PI()*POWER(($S$131-V131)/10,2)))*($G$131*100))*Y131)/100)*AB131)*$I$131)+(IF($Q$131="Gestandaardiseerde berekening",$G$131*$I$131*'Datablad 3'!C131*AH131,$G$131*$I$131*AE131*AH131))</f>
        <v>0</v>
      </c>
      <c r="D131" s="287">
        <f>(((((((PI()*POWER($S$131/10,2))-(PI()*POWER(($S$131-W131)/10,2)))*($G$131*100))*Z131)/100)*AC131)*$I$131)+(IF($Q$131="Gestandaardiseerde berekening",$G$131*$I$131*'Datablad 3'!D131*AI131,$G$131*$I$131*AF131*AI131))</f>
        <v>0</v>
      </c>
      <c r="E131" s="7" t="s">
        <v>427</v>
      </c>
      <c r="G131" s="6">
        <f>Invoerscherm!E500</f>
        <v>0</v>
      </c>
      <c r="H131" s="35" t="str">
        <f>Invoerscherm!F500</f>
        <v>m</v>
      </c>
      <c r="I131" s="6">
        <f>Invoerscherm!G500</f>
        <v>0</v>
      </c>
      <c r="J131" s="35" t="str">
        <f>Invoerscherm!H500</f>
        <v>stuks</v>
      </c>
      <c r="K131" s="82" t="str">
        <f>Invoerscherm!I500</f>
        <v>&lt;&lt; maak keuze &gt;&gt;</v>
      </c>
      <c r="L131" s="11" t="s">
        <v>464</v>
      </c>
      <c r="M131" s="82" t="str">
        <f>Invoerscherm!L500</f>
        <v>&lt;&lt; maak keuze &gt;&gt;</v>
      </c>
      <c r="N131" s="11" t="s">
        <v>465</v>
      </c>
      <c r="O131" s="82" t="str">
        <f>Invoerscherm!O500</f>
        <v>&lt;&lt; maak keuze &gt;&gt;</v>
      </c>
      <c r="P131" s="11" t="s">
        <v>477</v>
      </c>
      <c r="Q131" s="110" t="str">
        <f>Invoerscherm!C496</f>
        <v>&lt;&lt; maak keuze &gt;&gt;</v>
      </c>
      <c r="R131" s="11" t="s">
        <v>505</v>
      </c>
      <c r="S131" s="48">
        <f aca="true" t="shared" si="9" ref="S131:S138">IF(M131="32 mm",32/2,IF(M131="50 mm",50/2,IF(M131="90 mm",90/2,IF(M131="110 mm",110/2,IF(M131="250 mm",250/2,0)))))</f>
        <v>0</v>
      </c>
      <c r="T131" s="35" t="s">
        <v>508</v>
      </c>
      <c r="V131" s="6">
        <f>IF($M$131="32 mm",'Datablad 3'!C142,IF($M$131="50 mm",'Datablad 3'!C143,IF($M$131="90 mm",'Datablad 3'!C144,IF($M$131="110 mm",'Datablad 3'!C145,IF($M$131="250 mm",'Datablad 3'!C146,0)))))</f>
        <v>0</v>
      </c>
      <c r="W131" s="6">
        <f>IF($M$131="32 mm",'Datablad 3'!D142,IF($M$131="50 mm",'Datablad 3'!D143,IF($M$131="90 mm",'Datablad 3'!D144,IF($M$131="110 mm",'Datablad 3'!D145,IF($M$131="250 mm",'Datablad 3'!D146,0)))))</f>
        <v>0</v>
      </c>
      <c r="X131" s="35">
        <f>IF($M$131="32 mm",'Datablad 3'!E142,IF($M$131="50 mm",'Datablad 3'!E143,IF($M$131="90 mm",'Datablad 3'!E144,IF($M$131="110 mm",'Datablad 3'!E145,IF($M$131="250 mm",'Datablad 3'!E146,0)))))</f>
        <v>0</v>
      </c>
      <c r="Y131" s="6">
        <f>IF($K$131="PVC",'Datablad 1'!B45,IF($K$131="HDPE",'Datablad 1'!B46,IF($K$131="LDPE",'Datablad 1'!B47,IF($K$131="RVS",'Datablad 1'!D52,0))))</f>
        <v>0</v>
      </c>
      <c r="Z131" s="6">
        <f aca="true" t="shared" si="10" ref="Z131:Z138">Y131</f>
        <v>0</v>
      </c>
      <c r="AA131" s="35">
        <f>IF($K$131="PVC",'Datablad 1'!C45,IF($K$131="HDPE",'Datablad 1'!C46,IF($K$131="LDPE",'Datablad 1'!C47,IF($K$131="RVS",'Datablad 1'!E52,0))))</f>
        <v>0</v>
      </c>
      <c r="AB131" s="91">
        <f>IF($K$131="PVC",'Datablad 3'!C137,IF($K$131="HDPE",'Datablad 3'!C138,IF($K$131="LDPE",'Datablad 3'!C139,IF($K$131="RVS",'Datablad 3'!C140,0))))</f>
        <v>0</v>
      </c>
      <c r="AC131" s="91">
        <f>IF($K$131="PVC",'Datablad 3'!D137,IF($K$131="HDPE",'Datablad 3'!D138,IF($K$131="LDPE",'Datablad 3'!D139,IF($K$131="RVS",'Datablad 3'!D140,0))))</f>
        <v>0</v>
      </c>
      <c r="AD131" s="108">
        <f>IF($K$131="PVC",'Datablad 3'!E137,IF($K$131="HDPE",'Datablad 3'!E138,IF($K$131="LDPE",'Datablad 3'!E139,IF($K$131="RVS",'Datablad 3'!E140,0))))</f>
        <v>0</v>
      </c>
      <c r="AE131" s="93">
        <f>IF($O$131="Avegaarboren",'Datablad 3'!C127,IF($O$131="Geoprobe",'Datablad 3'!C128,IF($O$131="Pulsen",'Datablad 3'!C129,IF($O$131="Sonic drilling",'Datablad 3'!C130,0))))</f>
        <v>0</v>
      </c>
      <c r="AF131" s="93">
        <f>IF($O$131="Avegaarboren",'Datablad 3'!D127,IF($O$131="Geoprobe",'Datablad 3'!D128,IF($O$131="Pulsen",'Datablad 3'!D129,IF($O$131="Sonic drilling",'Datablad 3'!D130,0))))</f>
        <v>0</v>
      </c>
      <c r="AG131" s="95">
        <f>IF($O$131="Avegaarboren",'Datablad 3'!E127,IF($O$131="Geoprobe",'Datablad 3'!E128,IF($O$131="Pulsen",'Datablad 3'!E129,IF($O$131="Sonic drilling",'Datablad 3'!E130,0))))</f>
        <v>0</v>
      </c>
      <c r="AH131" s="91">
        <f>'Datablad 1'!B2+'Datablad 1'!B11</f>
        <v>3.1357</v>
      </c>
      <c r="AI131" s="91">
        <f>AH131</f>
        <v>3.1357</v>
      </c>
      <c r="AJ131" s="11" t="s">
        <v>22</v>
      </c>
    </row>
    <row r="132" spans="1:36" ht="12.75">
      <c r="A132" s="6" t="s">
        <v>463</v>
      </c>
      <c r="B132" s="6" t="s">
        <v>552</v>
      </c>
      <c r="C132" s="287">
        <f>(((((((PI()*POWER($S$132/10,2))-(PI()*POWER(($S$132-V132)/10,2)))*($G$132*100))*Y132)/100)*AB132)*$I$132)+(IF($Q$132="Gestandaardiseerde berekening",$G$132*$I$132*'Datablad 3'!C131*AH132,$G$132*$I$132*AE132*AH132))</f>
        <v>0</v>
      </c>
      <c r="D132" s="287">
        <f>(((((((PI()*POWER($S$132/10,2))-(PI()*POWER(($S$132-W132)/10,2)))*($G$132*100))*Z132)/100)*AC132)*$I$132)+(IF($Q$132="Gestandaardiseerde berekening",$G$132*$I$132*'Datablad 3'!D131*AI132,$G$132*$I$132*AF132*AI132))</f>
        <v>0</v>
      </c>
      <c r="E132" s="7" t="s">
        <v>427</v>
      </c>
      <c r="G132" s="6">
        <f>Invoerscherm!E502</f>
        <v>0</v>
      </c>
      <c r="H132" s="35" t="str">
        <f>Invoerscherm!F502</f>
        <v>m</v>
      </c>
      <c r="I132" s="6">
        <f>Invoerscherm!G502</f>
        <v>0</v>
      </c>
      <c r="J132" s="35" t="str">
        <f>Invoerscherm!H502</f>
        <v>stuks</v>
      </c>
      <c r="K132" s="82" t="str">
        <f>Invoerscherm!I502</f>
        <v>&lt;&lt; maak keuze &gt;&gt;</v>
      </c>
      <c r="L132" s="11" t="s">
        <v>464</v>
      </c>
      <c r="M132" s="82" t="str">
        <f>Invoerscherm!L502</f>
        <v>&lt;&lt; maak keuze &gt;&gt;</v>
      </c>
      <c r="N132" s="11" t="s">
        <v>465</v>
      </c>
      <c r="O132" s="82" t="str">
        <f>Invoerscherm!O502</f>
        <v>&lt;&lt; maak keuze &gt;&gt;</v>
      </c>
      <c r="P132" s="11" t="s">
        <v>477</v>
      </c>
      <c r="Q132" s="110" t="str">
        <f>Invoerscherm!C496</f>
        <v>&lt;&lt; maak keuze &gt;&gt;</v>
      </c>
      <c r="R132" s="11" t="s">
        <v>505</v>
      </c>
      <c r="S132" s="48">
        <f t="shared" si="9"/>
        <v>0</v>
      </c>
      <c r="T132" s="35" t="s">
        <v>508</v>
      </c>
      <c r="V132" s="6">
        <f>IF($M$132="32 mm",'Datablad 3'!C142,IF($M$132="50 mm",'Datablad 3'!C143,IF($M$132="90 mm",'Datablad 3'!C144,IF($M$132="110 mm",'Datablad 3'!C145,IF($M$132="250 mm",'Datablad 3'!C146,0)))))</f>
        <v>0</v>
      </c>
      <c r="W132" s="6">
        <f>IF($M$132="32 mm",'Datablad 3'!D142,IF($M$132="50 mm",'Datablad 3'!D143,IF($M$132="90 mm",'Datablad 3'!D144,IF($M$132="110 mm",'Datablad 3'!D145,IF($M$132="250 mm",'Datablad 3'!D146,0)))))</f>
        <v>0</v>
      </c>
      <c r="X132" s="35">
        <f>IF($M$132="32 mm",'Datablad 3'!E142,IF($M$132="50 mm",'Datablad 3'!E143,IF($M$132="90 mm",'Datablad 3'!E144,IF($M$132="110 mm",'Datablad 3'!E145,IF($M$132="250 mm",'Datablad 3'!E146,0)))))</f>
        <v>0</v>
      </c>
      <c r="Y132" s="6">
        <f>IF($K$132="PVC",'Datablad 1'!B45,IF($K$132="HDPE",'Datablad 1'!B46,IF($K$132="LDPE",'Datablad 1'!B47,IF($K$132="RVS",'Datablad 1'!D52,0))))</f>
        <v>0</v>
      </c>
      <c r="Z132" s="6">
        <f t="shared" si="10"/>
        <v>0</v>
      </c>
      <c r="AA132" s="35">
        <f>IF($K$132="PVC",'Datablad 1'!C45,IF($K$132="HDPE",'Datablad 1'!C46,IF($K$132="LDPE",'Datablad 1'!C47,IF($K$132="RVS",'Datablad 1'!E52,0))))</f>
        <v>0</v>
      </c>
      <c r="AB132" s="91">
        <f>IF($K$132="PVC",'Datablad 3'!C137,IF($K$132="HDPE",'Datablad 3'!C138,IF($K$132="LDPE",'Datablad 3'!C139,IF($K$132="RVS",'Datablad 3'!C140,0))))</f>
        <v>0</v>
      </c>
      <c r="AC132" s="91">
        <f>IF($K$132="PVC",'Datablad 3'!D137,IF($K$132="HDPE",'Datablad 3'!D138,IF($K$132="LDPE",'Datablad 3'!D139,IF($K$132="RVS",'Datablad 3'!D140,0))))</f>
        <v>0</v>
      </c>
      <c r="AD132" s="108">
        <f>IF($K$132="PVC",'Datablad 3'!E137,IF($K$132="HDPE",'Datablad 3'!E138,IF($K$132="LDPE",'Datablad 3'!E139,IF($K$132="RVS",'Datablad 3'!E140,0))))</f>
        <v>0</v>
      </c>
      <c r="AE132" s="93">
        <f>IF($O$132="Avegaarboren",'Datablad 3'!C127,IF($O$132="Geoprobe",'Datablad 3'!C128,IF($O$132="Pulsen",'Datablad 3'!C129,IF($O$132="Sonic drilling",'Datablad 3'!C130,0))))</f>
        <v>0</v>
      </c>
      <c r="AF132" s="93">
        <f>IF($O$132="Avegaarboren",'Datablad 3'!D127,IF($O$132="Geoprobe",'Datablad 3'!D128,IF($O$132="Pulsen",'Datablad 3'!D129,IF($O$132="Sonic drilling",'Datablad 3'!D130,0))))</f>
        <v>0</v>
      </c>
      <c r="AG132" s="95">
        <f>IF($O$132="Avegaarboren",'Datablad 3'!E127,IF($O$132="Geoprobe",'Datablad 3'!E128,IF($O$132="Pulsen",'Datablad 3'!E129,IF($O$132="Sonic drilling",'Datablad 3'!E130,0))))</f>
        <v>0</v>
      </c>
      <c r="AH132" s="91">
        <f>'Datablad 1'!B2+'Datablad 1'!B11</f>
        <v>3.1357</v>
      </c>
      <c r="AI132" s="91">
        <f>AH132</f>
        <v>3.1357</v>
      </c>
      <c r="AJ132" s="11" t="s">
        <v>22</v>
      </c>
    </row>
    <row r="133" spans="1:36" ht="12.75">
      <c r="A133" s="6" t="s">
        <v>463</v>
      </c>
      <c r="B133" s="6" t="s">
        <v>553</v>
      </c>
      <c r="C133" s="287">
        <f>(((((((PI()*POWER($S$133/10,2))-(PI()*POWER(($S$133-V133)/10,2)))*($G$133*100))*Y133)/100)*AB133)*$I$133)+(IF($Q$133="Gestandaardiseerde berekening",$G$133*$I$133*'Datablad 3'!C131*AH133,$G$133*$I$133*AE133*AH133))</f>
        <v>0</v>
      </c>
      <c r="D133" s="287">
        <f>(((((((PI()*POWER($S$133/10,2))-(PI()*POWER(($S$133-W133)/10,2)))*($G$133*100))*Z133)/100)*AC133)*$I$133)+(IF($Q$133="Gestandaardiseerde berekening",$G$133*$I$133*'Datablad 3'!D131*AI133,$G$133*$I$133*AF133*AI133))</f>
        <v>0</v>
      </c>
      <c r="E133" s="7" t="s">
        <v>427</v>
      </c>
      <c r="G133" s="6">
        <f>Invoerscherm!E504</f>
        <v>0</v>
      </c>
      <c r="H133" s="35" t="str">
        <f>Invoerscherm!F504</f>
        <v>m</v>
      </c>
      <c r="I133" s="6">
        <f>Invoerscherm!G504</f>
        <v>0</v>
      </c>
      <c r="J133" s="35" t="str">
        <f>Invoerscherm!H504</f>
        <v>stuks</v>
      </c>
      <c r="K133" s="82" t="str">
        <f>Invoerscherm!I504</f>
        <v>&lt;&lt; maak keuze &gt;&gt;</v>
      </c>
      <c r="L133" s="11" t="s">
        <v>464</v>
      </c>
      <c r="M133" s="82" t="str">
        <f>Invoerscherm!L504</f>
        <v>&lt;&lt; maak keuze &gt;&gt;</v>
      </c>
      <c r="N133" s="11" t="s">
        <v>465</v>
      </c>
      <c r="O133" s="82" t="str">
        <f>Invoerscherm!O504</f>
        <v>&lt;&lt; maak keuze &gt;&gt;</v>
      </c>
      <c r="P133" s="11" t="s">
        <v>477</v>
      </c>
      <c r="Q133" s="110" t="str">
        <f>Invoerscherm!C496</f>
        <v>&lt;&lt; maak keuze &gt;&gt;</v>
      </c>
      <c r="R133" s="11" t="s">
        <v>505</v>
      </c>
      <c r="S133" s="48">
        <f t="shared" si="9"/>
        <v>0</v>
      </c>
      <c r="T133" s="35" t="s">
        <v>508</v>
      </c>
      <c r="V133" s="6">
        <f>IF($M$133="32 mm",'Datablad 3'!C142,IF($M$133="50 mm",'Datablad 3'!C143,IF($M$133="90 mm",'Datablad 3'!C144,IF($M$133="110 mm",'Datablad 3'!C145,IF($M$133="250 mm",'Datablad 3'!C146,0)))))</f>
        <v>0</v>
      </c>
      <c r="W133" s="6">
        <f>IF($M$133="32 mm",'Datablad 3'!D142,IF($M$133="50 mm",'Datablad 3'!D143,IF($M$133="90 mm",'Datablad 3'!D144,IF($M$133="110 mm",'Datablad 3'!D145,IF($M$133="250 mm",'Datablad 3'!D146,0)))))</f>
        <v>0</v>
      </c>
      <c r="X133" s="35">
        <f>IF($M$133="32 mm",'Datablad 3'!E142,IF($M$133="50 mm",'Datablad 3'!E143,IF($M$133="90 mm",'Datablad 3'!E144,IF($M$133="110 mm",'Datablad 3'!E145,IF($M$133="250 mm",'Datablad 3'!E146,0)))))</f>
        <v>0</v>
      </c>
      <c r="Y133" s="6">
        <f>IF($K$133="PVC",'Datablad 1'!B45,IF($K$133="HDPE",'Datablad 1'!B46,IF($K$133="LDPE",'Datablad 1'!B47,IF($K$133="RVS",'Datablad 1'!D52,0))))</f>
        <v>0</v>
      </c>
      <c r="Z133" s="6">
        <f t="shared" si="10"/>
        <v>0</v>
      </c>
      <c r="AA133" s="35">
        <f>IF($K$133="PVC",'Datablad 1'!C45,IF($K$133="HDPE",'Datablad 1'!C46,IF($K$133="LDPE",'Datablad 1'!C47,IF($K$133="RVS",'Datablad 1'!E52,0))))</f>
        <v>0</v>
      </c>
      <c r="AB133" s="91">
        <f>IF($K$133="PVC",'Datablad 3'!C137,IF($K$133="HDPE",'Datablad 3'!C138,IF($K$133="LDPE",'Datablad 3'!C139,IF($K$133="RVS",'Datablad 3'!C140,0))))</f>
        <v>0</v>
      </c>
      <c r="AC133" s="91">
        <f>IF($K$133="PVC",'Datablad 3'!D137,IF($K$133="HDPE",'Datablad 3'!D138,IF($K$133="LDPE",'Datablad 3'!D139,IF($K$133="RVS",'Datablad 3'!D140,0))))</f>
        <v>0</v>
      </c>
      <c r="AD133" s="108">
        <f>IF($K$133="PVC",'Datablad 3'!E137,IF($K$133="HDPE",'Datablad 3'!E138,IF($K$133="LDPE",'Datablad 3'!E139,IF($K$133="RVS",'Datablad 3'!E140,0))))</f>
        <v>0</v>
      </c>
      <c r="AE133" s="93">
        <f>IF($O$132="Avegaarboren",'Datablad 3'!C127,IF($O$132="Geoprobe",'Datablad 3'!C128,IF($O$132="Pulsen",'Datablad 3'!C129,IF($O$132="Sonic drilling",'Datablad 3'!C130,0))))</f>
        <v>0</v>
      </c>
      <c r="AF133" s="93">
        <f>IF($O$132="Avegaarboren",'Datablad 3'!D127,IF($O$132="Geoprobe",'Datablad 3'!D128,IF($O$132="Pulsen",'Datablad 3'!D129,IF($O$132="Sonic drilling",'Datablad 3'!D130,0))))</f>
        <v>0</v>
      </c>
      <c r="AG133" s="95">
        <f>IF($O$132="Avegaarboren",'Datablad 3'!E127,IF($O$132="Geoprobe",'Datablad 3'!E128,IF($O$132="Pulsen",'Datablad 3'!E129,IF($O$132="Sonic drilling",'Datablad 3'!E130,0))))</f>
        <v>0</v>
      </c>
      <c r="AH133" s="91">
        <f>'Datablad 1'!B2+'Datablad 1'!B11</f>
        <v>3.1357</v>
      </c>
      <c r="AI133" s="91">
        <f>AH133</f>
        <v>3.1357</v>
      </c>
      <c r="AJ133" s="11" t="s">
        <v>22</v>
      </c>
    </row>
    <row r="134" spans="1:36" ht="12.75">
      <c r="A134" s="6" t="s">
        <v>463</v>
      </c>
      <c r="B134" s="6" t="s">
        <v>554</v>
      </c>
      <c r="C134" s="287">
        <f>(((((((PI()*POWER($S$134/10,2))-(PI()*POWER(($S$134-V134)/10,2)))*($G$134*100))*Y134)/100)*AB134)*$I$134)+(IF($Q$134="Gestandaardiseerde berekening",$G$134*$I$134*'Datablad 3'!C131*AH134,$G$134*$I$134*AE134*AH134))</f>
        <v>0</v>
      </c>
      <c r="D134" s="287">
        <f>(((((((PI()*POWER($S$134/10,2))-(PI()*POWER(($S$134-W134)/10,2)))*($G$134*100))*Z134)/100)*AC134)*$I$134)+(IF($Q$134="Gestandaardiseerde berekening",$G$134*$I$134*'Datablad 3'!D131*AI134,$G$134*$I$134*AF134*AI134))</f>
        <v>0</v>
      </c>
      <c r="E134" s="7" t="s">
        <v>427</v>
      </c>
      <c r="G134" s="6">
        <f>Invoerscherm!E506</f>
        <v>0</v>
      </c>
      <c r="H134" s="35" t="str">
        <f>Invoerscherm!F506</f>
        <v>m</v>
      </c>
      <c r="I134" s="6">
        <f>Invoerscherm!G506</f>
        <v>0</v>
      </c>
      <c r="J134" s="35" t="str">
        <f>Invoerscherm!H506</f>
        <v>stuks</v>
      </c>
      <c r="K134" s="82" t="str">
        <f>Invoerscherm!I506</f>
        <v>&lt;&lt; maak keuze &gt;&gt;</v>
      </c>
      <c r="L134" s="11" t="s">
        <v>464</v>
      </c>
      <c r="M134" s="82" t="str">
        <f>Invoerscherm!L506</f>
        <v>&lt;&lt; maak keuze &gt;&gt;</v>
      </c>
      <c r="N134" s="11" t="s">
        <v>465</v>
      </c>
      <c r="O134" s="82" t="str">
        <f>Invoerscherm!O506</f>
        <v>&lt;&lt; maak keuze &gt;&gt;</v>
      </c>
      <c r="P134" s="11" t="s">
        <v>477</v>
      </c>
      <c r="Q134" s="110" t="str">
        <f>Invoerscherm!C496</f>
        <v>&lt;&lt; maak keuze &gt;&gt;</v>
      </c>
      <c r="R134" s="11" t="s">
        <v>505</v>
      </c>
      <c r="S134" s="48">
        <f t="shared" si="9"/>
        <v>0</v>
      </c>
      <c r="T134" s="35" t="s">
        <v>508</v>
      </c>
      <c r="V134" s="6">
        <f>IF($M$134="32 mm",'Datablad 3'!C142,IF($M$134="50 mm",'Datablad 3'!C143,IF($M$134="90 mm",'Datablad 3'!C144,IF($M$134="110 mm",'Datablad 3'!C145,IF($M$134="250 mm",'Datablad 3'!C146,0)))))</f>
        <v>0</v>
      </c>
      <c r="W134" s="6">
        <f>IF($M$134="32 mm",'Datablad 3'!D142,IF($M$134="50 mm",'Datablad 3'!D143,IF($M$134="90 mm",'Datablad 3'!D144,IF($M$134="110 mm",'Datablad 3'!D145,IF($M$134="250 mm",'Datablad 3'!D146,0)))))</f>
        <v>0</v>
      </c>
      <c r="X134" s="35">
        <f>IF($M$134="32 mm",'Datablad 3'!E142,IF($M$134="50 mm",'Datablad 3'!E143,IF($M$134="90 mm",'Datablad 3'!E144,IF($M$134="110 mm",'Datablad 3'!E145,IF($M$134="250 mm",'Datablad 3'!E146,0)))))</f>
        <v>0</v>
      </c>
      <c r="Y134" s="6">
        <f>IF($K$134="PVC",'Datablad 1'!B45,IF($K$134="HDPE",'Datablad 1'!B46,IF($K$134="LDPE",'Datablad 1'!B47,IF($K$134="RVS",'Datablad 1'!D52,0))))</f>
        <v>0</v>
      </c>
      <c r="Z134" s="6">
        <f t="shared" si="10"/>
        <v>0</v>
      </c>
      <c r="AA134" s="35">
        <f>IF($K$134="PVC",'Datablad 1'!C45,IF($K$134="HDPE",'Datablad 1'!C46,IF($K$134="LDPE",'Datablad 1'!C47,IF($K$134="RVS",'Datablad 1'!E52,0))))</f>
        <v>0</v>
      </c>
      <c r="AB134" s="91">
        <f>IF($K$134="PVC",'Datablad 3'!C137,IF($K$134="HDPE",'Datablad 3'!C138,IF($K$134="LDPE",'Datablad 3'!C139,IF($K$134="RVS",'Datablad 3'!C140,0))))</f>
        <v>0</v>
      </c>
      <c r="AC134" s="91">
        <f>IF($K$134="PVC",'Datablad 3'!D137,IF($K$134="HDPE",'Datablad 3'!D138,IF($K$134="LDPE",'Datablad 3'!D139,IF($K$134="RVS",'Datablad 3'!D140,0))))</f>
        <v>0</v>
      </c>
      <c r="AD134" s="108">
        <f>IF($K$134="PVC",'Datablad 3'!E137,IF($K$134="HDPE",'Datablad 3'!E138,IF($K$134="LDPE",'Datablad 3'!E139,IF($K$134="RVS",'Datablad 3'!E140,0))))</f>
        <v>0</v>
      </c>
      <c r="AE134" s="93">
        <f>IF($O$134="Avegaarboren",'Datablad 3'!C127,IF($O$134="Geoprobe",'Datablad 3'!C128,IF($O$134="Pulsen",'Datablad 3'!C129,IF($O$134="Sonic drilling",'Datablad 3'!C130,0))))</f>
        <v>0</v>
      </c>
      <c r="AF134" s="93">
        <f>IF($O$134="Avegaarboren",'Datablad 3'!D127,IF($O$134="Geoprobe",'Datablad 3'!D128,IF($O$134="Pulsen",'Datablad 3'!D129,IF($O$134="Sonic drilling",'Datablad 3'!D130,0))))</f>
        <v>0</v>
      </c>
      <c r="AG134" s="95">
        <f>IF($O$134="Avegaarboren",'Datablad 3'!E127,IF($O$134="Geoprobe",'Datablad 3'!E128,IF($O$134="Pulsen",'Datablad 3'!E129,IF($O$134="Sonic drilling",'Datablad 3'!E130,0))))</f>
        <v>0</v>
      </c>
      <c r="AH134" s="91">
        <f>'Datablad 1'!B2+'Datablad 1'!B11</f>
        <v>3.1357</v>
      </c>
      <c r="AI134" s="91">
        <f>AH134</f>
        <v>3.1357</v>
      </c>
      <c r="AJ134" s="11" t="s">
        <v>22</v>
      </c>
    </row>
    <row r="135" spans="1:30" ht="12.75">
      <c r="A135" s="6" t="s">
        <v>463</v>
      </c>
      <c r="B135" s="6" t="s">
        <v>536</v>
      </c>
      <c r="C135" s="287">
        <f>(((((((PI()*POWER($S$135/10,2))-(PI()*POWER(($S$135-V135)/10,2)))*($G$135*100))*Y135)/100)*AB135)*$I$135)</f>
        <v>0</v>
      </c>
      <c r="D135" s="287">
        <f>(((((((PI()*POWER($S$135/10,2))-(PI()*POWER(($S$135-W135)/10,2)))*($G$135*100))*Z135)/100)*AC135)*$I$135)</f>
        <v>0</v>
      </c>
      <c r="E135" s="7" t="s">
        <v>427</v>
      </c>
      <c r="G135" s="6">
        <f>Invoerscherm!E510</f>
        <v>0</v>
      </c>
      <c r="H135" s="35" t="str">
        <f>Invoerscherm!F510</f>
        <v>m</v>
      </c>
      <c r="I135" s="6">
        <f>Invoerscherm!G510</f>
        <v>0</v>
      </c>
      <c r="J135" s="35" t="str">
        <f>Invoerscherm!H510</f>
        <v>stuks</v>
      </c>
      <c r="K135" s="82" t="str">
        <f>Invoerscherm!I510</f>
        <v>&lt;&lt; maak keuze &gt;&gt;</v>
      </c>
      <c r="L135" s="11" t="s">
        <v>464</v>
      </c>
      <c r="M135" s="82" t="str">
        <f>Invoerscherm!L510</f>
        <v>&lt;&lt; maak keuze &gt;&gt;</v>
      </c>
      <c r="N135" s="11" t="s">
        <v>465</v>
      </c>
      <c r="S135" s="48">
        <f t="shared" si="9"/>
        <v>0</v>
      </c>
      <c r="T135" s="35" t="s">
        <v>508</v>
      </c>
      <c r="V135" s="6">
        <f>IF($M$135="32 mm",'Datablad 3'!C142,IF($M$135="50 mm",'Datablad 3'!C143,IF($M$135="90 mm",'Datablad 3'!C144,IF($M$135="110 mm",'Datablad 3'!C145,IF($M$135="250 mm",'Datablad 3'!C146,0)))))</f>
        <v>0</v>
      </c>
      <c r="W135" s="6">
        <f>IF($M$135="32 mm",'Datablad 3'!D142,IF($M$135="50 mm",'Datablad 3'!D143,IF($M$135="90 mm",'Datablad 3'!D144,IF($M$135="110 mm",'Datablad 3'!D145,IF($M$135="250 mm",'Datablad 3'!D146,0)))))</f>
        <v>0</v>
      </c>
      <c r="X135" s="35">
        <f>IF($M$135="32 mm",'Datablad 3'!E142,IF($M$135="50 mm",'Datablad 3'!E143,IF($M$135="90 mm",'Datablad 3'!E144,IF($M$135="110 mm",'Datablad 3'!E145,IF($M$135="250 mm",'Datablad 3'!E146,0)))))</f>
        <v>0</v>
      </c>
      <c r="Y135" s="6">
        <f>IF($K$135="PVC",'Datablad 1'!B45,IF($K$135="HDPE",'Datablad 1'!B46,IF($K$135="LDPE",'Datablad 1'!B47,IF($K$135="RVS",'Datablad 1'!D52,0))))</f>
        <v>0</v>
      </c>
      <c r="Z135" s="6">
        <f t="shared" si="10"/>
        <v>0</v>
      </c>
      <c r="AA135" s="35">
        <f>IF($K$135="PVC",'Datablad 1'!C45,IF($K$135="HDPE",'Datablad 1'!C46,IF($K$135="LDPE",'Datablad 1'!C47,IF($K$135="RVS",'Datablad 1'!E52,0))))</f>
        <v>0</v>
      </c>
      <c r="AB135" s="91">
        <f>IF($K$135="PVC",'Datablad 3'!C137,IF($K$135="HDPE",'Datablad 3'!C138,IF($K$135="LDPE",'Datablad 3'!C139,IF($K$135="RVS",'Datablad 3'!C140,0))))</f>
        <v>0</v>
      </c>
      <c r="AC135" s="91">
        <f>IF($K$135="PVC",'Datablad 3'!D137,IF($K$135="HDPE",'Datablad 3'!D138,IF($K$135="LDPE",'Datablad 3'!D139,IF($K$135="RVS",'Datablad 3'!D140,0))))</f>
        <v>0</v>
      </c>
      <c r="AD135" s="108">
        <f>IF($K$135="PVC",'Datablad 3'!E137,IF($K$135="HDPE",'Datablad 3'!E138,IF($K$135="LDPE",'Datablad 3'!E139,IF($K$135="RVS",'Datablad 3'!E140,0))))</f>
        <v>0</v>
      </c>
    </row>
    <row r="136" spans="1:30" ht="12.75">
      <c r="A136" s="6" t="s">
        <v>463</v>
      </c>
      <c r="B136" s="6" t="s">
        <v>537</v>
      </c>
      <c r="C136" s="287">
        <f>(((((((PI()*POWER($S$136/10,2))-(PI()*POWER(($S$136-V136)/10,2)))*($G$136*100))*Y136)/100)*AB136)*$I$136)</f>
        <v>0</v>
      </c>
      <c r="D136" s="287">
        <f>(((((((PI()*POWER($S$136/10,2))-(PI()*POWER(($S$136-W136)/10,2)))*($G$136*100))*Z136)/100)*AC136)*$I$136)</f>
        <v>0</v>
      </c>
      <c r="E136" s="7" t="s">
        <v>427</v>
      </c>
      <c r="G136" s="6">
        <f>Invoerscherm!E512</f>
        <v>0</v>
      </c>
      <c r="H136" s="35" t="str">
        <f>Invoerscherm!F512</f>
        <v>m</v>
      </c>
      <c r="I136" s="6">
        <f>Invoerscherm!G512</f>
        <v>0</v>
      </c>
      <c r="J136" s="35" t="str">
        <f>Invoerscherm!H512</f>
        <v>stuks</v>
      </c>
      <c r="K136" s="82" t="str">
        <f>Invoerscherm!I512</f>
        <v>&lt;&lt; maak keuze &gt;&gt;</v>
      </c>
      <c r="L136" s="11" t="s">
        <v>464</v>
      </c>
      <c r="M136" s="82" t="str">
        <f>Invoerscherm!L512</f>
        <v>&lt;&lt; maak keuze &gt;&gt;</v>
      </c>
      <c r="N136" s="11" t="s">
        <v>465</v>
      </c>
      <c r="S136" s="48">
        <f t="shared" si="9"/>
        <v>0</v>
      </c>
      <c r="T136" s="35" t="s">
        <v>508</v>
      </c>
      <c r="V136" s="6">
        <f>IF($M$136="32 mm",'Datablad 3'!C142,IF($M$136="50 mm",'Datablad 3'!C143,IF($M$136="90 mm",'Datablad 3'!C144,IF($M$136="110 mm",'Datablad 3'!C145,IF($M$136="250 mm",'Datablad 3'!C146,0)))))</f>
        <v>0</v>
      </c>
      <c r="W136" s="6">
        <f>IF($M$136="32 mm",'Datablad 3'!D142,IF($M$136="50 mm",'Datablad 3'!D143,IF($M$136="90 mm",'Datablad 3'!D144,IF($M$136="110 mm",'Datablad 3'!D145,IF($M$136="250 mm",'Datablad 3'!D146,0)))))</f>
        <v>0</v>
      </c>
      <c r="X136" s="35">
        <f>IF($M$136="32 mm",'Datablad 3'!E142,IF($M$136="50 mm",'Datablad 3'!E143,IF($M$136="90 mm",'Datablad 3'!E144,IF($M$136="110 mm",'Datablad 3'!E145,IF($M$136="250 mm",'Datablad 3'!E146,0)))))</f>
        <v>0</v>
      </c>
      <c r="Y136" s="6">
        <f>IF($K$136="PVC",'Datablad 1'!B45,IF($K$136="HDPE",'Datablad 1'!B46,IF($K$136="LDPE",'Datablad 1'!B47,IF($K$136="RVS",'Datablad 1'!D52,0))))</f>
        <v>0</v>
      </c>
      <c r="Z136" s="6">
        <f t="shared" si="10"/>
        <v>0</v>
      </c>
      <c r="AA136" s="35">
        <f>IF($K$136="PVC",'Datablad 1'!C45,IF($K$136="HDPE",'Datablad 1'!C46,IF($K$136="LDPE",'Datablad 1'!C47,IF($K$136="RVS",'Datablad 1'!E52,0))))</f>
        <v>0</v>
      </c>
      <c r="AB136" s="91">
        <f>IF($K$136="PVC",'Datablad 3'!C137,IF($K$136="HDPE",'Datablad 3'!C138,IF($K$136="LDPE",'Datablad 3'!C139,IF($K$136="RVS",'Datablad 3'!C140,0))))</f>
        <v>0</v>
      </c>
      <c r="AC136" s="91">
        <f>IF($K$136="PVC",'Datablad 3'!D137,IF($K$136="HDPE",'Datablad 3'!D138,IF($K$136="LDPE",'Datablad 3'!D139,IF($K$136="RVS",'Datablad 3'!D140,0))))</f>
        <v>0</v>
      </c>
      <c r="AD136" s="108">
        <f>IF($K$136="PVC",'Datablad 3'!E137,IF($K$136="HDPE",'Datablad 3'!E138,IF($K$136="LDPE",'Datablad 3'!E139,IF($K$136="RVS",'Datablad 3'!E140,0))))</f>
        <v>0</v>
      </c>
    </row>
    <row r="137" spans="1:30" ht="12.75">
      <c r="A137" s="6" t="s">
        <v>463</v>
      </c>
      <c r="B137" s="6" t="s">
        <v>538</v>
      </c>
      <c r="C137" s="287">
        <f>(((((((PI()*POWER($S$137/10,2))-(PI()*POWER(($S$137-V137)/10,2)))*($G$137*100))*Y137)/100)*AB137)*$I$137)</f>
        <v>0</v>
      </c>
      <c r="D137" s="287">
        <f>(((((((PI()*POWER($S$137/10,2))-(PI()*POWER(($S$137-W137)/10,2)))*($G$137*100))*Z137)/100)*AC137)*$I$137)</f>
        <v>0</v>
      </c>
      <c r="E137" s="7" t="s">
        <v>427</v>
      </c>
      <c r="G137" s="6">
        <f>Invoerscherm!E514</f>
        <v>0</v>
      </c>
      <c r="H137" s="35" t="str">
        <f>Invoerscherm!F514</f>
        <v>m</v>
      </c>
      <c r="I137" s="6">
        <f>Invoerscherm!G514</f>
        <v>0</v>
      </c>
      <c r="J137" s="35" t="str">
        <f>Invoerscherm!H514</f>
        <v>stuks</v>
      </c>
      <c r="K137" s="82" t="str">
        <f>Invoerscherm!I514</f>
        <v>&lt;&lt; maak keuze &gt;&gt;</v>
      </c>
      <c r="L137" s="11" t="s">
        <v>464</v>
      </c>
      <c r="M137" s="82" t="str">
        <f>Invoerscherm!L514</f>
        <v>&lt;&lt; maak keuze &gt;&gt;</v>
      </c>
      <c r="N137" s="11" t="s">
        <v>465</v>
      </c>
      <c r="S137" s="48">
        <f t="shared" si="9"/>
        <v>0</v>
      </c>
      <c r="T137" s="35" t="s">
        <v>508</v>
      </c>
      <c r="V137" s="6">
        <f>IF($M$137="32 mm",'Datablad 3'!C142,IF($M$137="50 mm",'Datablad 3'!C143,IF($M$137="90 mm",'Datablad 3'!C144,IF($M$137="110 mm",'Datablad 3'!C145,IF($M$137="250 mm",'Datablad 3'!C146,0)))))</f>
        <v>0</v>
      </c>
      <c r="W137" s="6">
        <f>IF($M$137="32 mm",'Datablad 3'!D142,IF($M$137="50 mm",'Datablad 3'!D143,IF($M$137="90 mm",'Datablad 3'!D144,IF($M$137="110 mm",'Datablad 3'!D145,IF($M$137="250 mm",'Datablad 3'!D146,0)))))</f>
        <v>0</v>
      </c>
      <c r="X137" s="35">
        <f>IF($M$137="32 mm",'Datablad 3'!E142,IF($M$137="50 mm",'Datablad 3'!E143,IF($M$137="90 mm",'Datablad 3'!E144,IF($M$137="110 mm",'Datablad 3'!E145,IF($M$137="250 mm",'Datablad 3'!E146,0)))))</f>
        <v>0</v>
      </c>
      <c r="Y137" s="6">
        <f>IF($K$137="PVC",'Datablad 1'!B45,IF($K$137="HDPE",'Datablad 1'!B46,IF($K$137="LDPE",'Datablad 1'!B47,IF($K$137="RVS",'Datablad 1'!D52,0))))</f>
        <v>0</v>
      </c>
      <c r="Z137" s="6">
        <f t="shared" si="10"/>
        <v>0</v>
      </c>
      <c r="AA137" s="35">
        <f>IF($K$137="PVC",'Datablad 1'!C45,IF($K$137="HDPE",'Datablad 1'!C46,IF($K$137="LDPE",'Datablad 1'!C47,IF($K$137="RVS",'Datablad 1'!E52,0))))</f>
        <v>0</v>
      </c>
      <c r="AB137" s="91">
        <f>IF($K$137="PVC",'Datablad 3'!C137,IF($K$137="HDPE",'Datablad 3'!C138,IF($K$137="LDPE",'Datablad 3'!C139,IF($K$137="RVS",'Datablad 3'!C140,0))))</f>
        <v>0</v>
      </c>
      <c r="AC137" s="91">
        <f>IF($K$137="PVC",'Datablad 3'!D137,IF($K$137="HDPE",'Datablad 3'!D138,IF($K$137="LDPE",'Datablad 3'!D139,IF($K$137="RVS",'Datablad 3'!D140,0))))</f>
        <v>0</v>
      </c>
      <c r="AD137" s="108">
        <f>IF($K$137="PVC",'Datablad 3'!E137,IF($K$137="HDPE",'Datablad 3'!E138,IF($K$137="LDPE",'Datablad 3'!E139,IF($K$137="RVS",'Datablad 3'!E140,0))))</f>
        <v>0</v>
      </c>
    </row>
    <row r="138" spans="1:30" ht="12.75">
      <c r="A138" s="6" t="s">
        <v>463</v>
      </c>
      <c r="B138" s="6" t="s">
        <v>539</v>
      </c>
      <c r="C138" s="287">
        <f>(((((((PI()*POWER($S$138/10,2))-(PI()*POWER(($S$138-V138)/10,2)))*($G$138*100))*Y138)/100)*AB138)*$I$138)</f>
        <v>0</v>
      </c>
      <c r="D138" s="287">
        <f>(((((((PI()*POWER($S$138/10,2))-(PI()*POWER(($S$138-W138)/10,2)))*($G$138*100))*Z138)/100)*AC138)*$I$138)</f>
        <v>0</v>
      </c>
      <c r="E138" s="7" t="s">
        <v>427</v>
      </c>
      <c r="G138" s="6">
        <f>Invoerscherm!E516</f>
        <v>0</v>
      </c>
      <c r="H138" s="35" t="str">
        <f>Invoerscherm!F516</f>
        <v>m</v>
      </c>
      <c r="I138" s="6">
        <f>Invoerscherm!G516</f>
        <v>0</v>
      </c>
      <c r="J138" s="35" t="str">
        <f>Invoerscherm!H516</f>
        <v>stuks</v>
      </c>
      <c r="K138" s="82" t="str">
        <f>Invoerscherm!I516</f>
        <v>&lt;&lt; maak keuze &gt;&gt;</v>
      </c>
      <c r="L138" s="11" t="s">
        <v>464</v>
      </c>
      <c r="M138" s="82" t="str">
        <f>Invoerscherm!L516</f>
        <v>&lt;&lt; maak keuze &gt;&gt;</v>
      </c>
      <c r="N138" s="11" t="s">
        <v>465</v>
      </c>
      <c r="S138" s="48">
        <f t="shared" si="9"/>
        <v>0</v>
      </c>
      <c r="T138" s="35" t="s">
        <v>508</v>
      </c>
      <c r="V138" s="6">
        <f>IF($M$138="32 mm",'Datablad 3'!C142,IF($M$138="50 mm",'Datablad 3'!C143,IF($M$138="90 mm",'Datablad 3'!C144,IF($M$138="110 mm",'Datablad 3'!C145,IF($M$138="250 mm",'Datablad 3'!C146,0)))))</f>
        <v>0</v>
      </c>
      <c r="W138" s="6">
        <f>IF($M$138="32 mm",'Datablad 3'!D142,IF($M$138="50 mm",'Datablad 3'!D143,IF($M$138="90 mm",'Datablad 3'!D144,IF($M$138="110 mm",'Datablad 3'!D145,IF($M$138="250 mm",'Datablad 3'!D146,0)))))</f>
        <v>0</v>
      </c>
      <c r="X138" s="35">
        <f>IF($M$138="32 mm",'Datablad 3'!E142,IF($M$138="50 mm",'Datablad 3'!E143,IF($M$138="90 mm",'Datablad 3'!E144,IF($M$138="110 mm",'Datablad 3'!E145,IF($M$138="250 mm",'Datablad 3'!E146,0)))))</f>
        <v>0</v>
      </c>
      <c r="Y138" s="6">
        <f>IF($K$138="PVC",'Datablad 1'!B45,IF($K$138="HDPE",'Datablad 1'!B46,IF($K$138="LDPE",'Datablad 1'!B47,IF($K$138="RVS",'Datablad 1'!D52,0))))</f>
        <v>0</v>
      </c>
      <c r="Z138" s="6">
        <f t="shared" si="10"/>
        <v>0</v>
      </c>
      <c r="AA138" s="35">
        <f>IF($K$138="PVC",'Datablad 1'!C45,IF($K$138="HDPE",'Datablad 1'!C46,IF($K$138="LDPE",'Datablad 1'!C47,IF($K$138="RVS",'Datablad 1'!E52,0))))</f>
        <v>0</v>
      </c>
      <c r="AB138" s="91">
        <f>IF($K$138="PVC",'Datablad 3'!C137,IF($K$138="HDPE",'Datablad 3'!C138,IF($K$138="LDPE",'Datablad 3'!C139,IF($K$138="RVS",'Datablad 3'!C140,0))))</f>
        <v>0</v>
      </c>
      <c r="AC138" s="91">
        <f>IF($K$138="PVC",'Datablad 3'!D137,IF($K$138="HDPE",'Datablad 3'!D138,IF($K$138="LDPE",'Datablad 3'!D139,IF($K$138="RVS",'Datablad 3'!D140,0))))</f>
        <v>0</v>
      </c>
      <c r="AD138" s="108">
        <f>IF($K$138="PVC",'Datablad 3'!E137,IF($K$138="HDPE",'Datablad 3'!E138,IF($K$138="LDPE",'Datablad 3'!E139,IF($K$138="RVS",'Datablad 3'!E140,0))))</f>
        <v>0</v>
      </c>
    </row>
    <row r="139" spans="1:27" ht="12.75">
      <c r="A139" s="6" t="s">
        <v>542</v>
      </c>
      <c r="B139" s="6" t="s">
        <v>590</v>
      </c>
      <c r="C139" s="287">
        <f>(($I$139*7*24)*V139*Y139)*$G$139</f>
        <v>0</v>
      </c>
      <c r="D139" s="287">
        <f>(($I$139*7*24)*W139*Z139)*$G$139</f>
        <v>0</v>
      </c>
      <c r="E139" s="7" t="s">
        <v>427</v>
      </c>
      <c r="G139" s="6">
        <f>Invoerscherm!F523</f>
        <v>0</v>
      </c>
      <c r="H139" s="35" t="str">
        <f>Invoerscherm!G523</f>
        <v>stuks</v>
      </c>
      <c r="I139" s="6">
        <f>Invoerscherm!H523</f>
        <v>0</v>
      </c>
      <c r="J139" s="35" t="str">
        <f>Invoerscherm!I523</f>
        <v>weken</v>
      </c>
      <c r="K139" s="82" t="str">
        <f>Invoerscherm!K523</f>
        <v>&lt;&lt; maak keuze &gt;&gt;</v>
      </c>
      <c r="L139" s="11" t="s">
        <v>442</v>
      </c>
      <c r="V139" s="6">
        <f>'Datablad 3'!C77</f>
        <v>3.5</v>
      </c>
      <c r="W139" s="6">
        <f>'Datablad 3'!D77</f>
        <v>3.5</v>
      </c>
      <c r="X139" s="35" t="str">
        <f>'Datablad 3'!E77</f>
        <v>kWh</v>
      </c>
      <c r="Y139" s="6">
        <f>IF($K$139="Grijze stroom",'Datablad 1'!B29,IF($K$139="Groene stroom",'Datablad 1'!B30,IF($K$139="Directe windenergie",'Datablad 1'!B31,IF($K$139="Directe zonne-energie",'Datablad 1'!B32,IF($K$139="Directe waterkracht",'Datablad 1'!B33,IF($K$139="Directe biomassa",'Datablad 1'!B34,0))))))</f>
        <v>0</v>
      </c>
      <c r="Z139" s="113">
        <f>Y139</f>
        <v>0</v>
      </c>
      <c r="AA139" s="35">
        <f>IF($K$139="Grijze stroom",'Datablad 1'!C29,IF($K$139="Groene stroom",'Datablad 1'!C30,IF($K$139="Directe windenergie",'Datablad 1'!C31,IF($K$139="Directe zonne-energie",'Datablad 1'!C32,IF($K$139="Directe waterkracht",'Datablad 1'!C33,IF($K$139="Directe biomassa",'Datablad 1'!C34,0))))))</f>
        <v>0</v>
      </c>
    </row>
    <row r="140" spans="1:27" ht="12.75">
      <c r="A140" s="6" t="s">
        <v>542</v>
      </c>
      <c r="B140" s="6" t="s">
        <v>591</v>
      </c>
      <c r="C140" s="287">
        <f>(($I$140*7*24)*V140*Y140)*$G$140</f>
        <v>0</v>
      </c>
      <c r="D140" s="287">
        <f>(($I$140*7*24)*W140*Z140)*$G$140</f>
        <v>0</v>
      </c>
      <c r="E140" s="7" t="s">
        <v>427</v>
      </c>
      <c r="G140" s="6">
        <f>Invoerscherm!F525</f>
        <v>0</v>
      </c>
      <c r="H140" s="35" t="str">
        <f>Invoerscherm!G525</f>
        <v>stuks</v>
      </c>
      <c r="I140" s="6">
        <f>Invoerscherm!H525</f>
        <v>0</v>
      </c>
      <c r="J140" s="35" t="str">
        <f>Invoerscherm!I525</f>
        <v>weken</v>
      </c>
      <c r="K140" s="82" t="str">
        <f>Invoerscherm!K525</f>
        <v>&lt;&lt; maak keuze &gt;&gt;</v>
      </c>
      <c r="L140" s="11" t="s">
        <v>442</v>
      </c>
      <c r="V140" s="6">
        <f>'Datablad 3'!C78</f>
        <v>7</v>
      </c>
      <c r="W140" s="6">
        <f>'Datablad 3'!D78</f>
        <v>7</v>
      </c>
      <c r="X140" s="35" t="str">
        <f>'Datablad 3'!E78</f>
        <v>kWh</v>
      </c>
      <c r="Y140" s="6">
        <f>IF($K$140="Grijze stroom",'Datablad 1'!B29,IF($K$140="Groene stroom",'Datablad 1'!B30,IF($K$140="Directe windenergie",'Datablad 1'!B31,IF($K$140="Directe zonne-energie",'Datablad 1'!B32,IF($K$140="Directe waterkracht",'Datablad 1'!B33,IF($K$140="Directe biomassa",'Datablad 1'!B34,0))))))</f>
        <v>0</v>
      </c>
      <c r="Z140" s="113">
        <f>Y140</f>
        <v>0</v>
      </c>
      <c r="AA140" s="35">
        <f>IF($K$140="Grijze stroom",'Datablad 1'!C29,IF($K$140="Groene stroom",'Datablad 1'!C30,IF($K$140="Directe windenergie",'Datablad 1'!C31,IF($K$140="Directe zonne-energie",'Datablad 1'!C32,IF($K$140="Directe waterkracht",'Datablad 1'!C33,IF($K$140="Directe biomassa",'Datablad 1'!C34,0))))))</f>
        <v>0</v>
      </c>
    </row>
    <row r="141" spans="1:27" ht="12.75">
      <c r="A141" s="6" t="s">
        <v>542</v>
      </c>
      <c r="B141" s="6" t="s">
        <v>592</v>
      </c>
      <c r="C141" s="287">
        <f>(($I$141*7*24)*V141*Y141)*$G$141</f>
        <v>0</v>
      </c>
      <c r="D141" s="287">
        <f>(($I$141*7*24)*W141*Z141)*$G$141</f>
        <v>0</v>
      </c>
      <c r="E141" s="7" t="s">
        <v>427</v>
      </c>
      <c r="G141" s="6">
        <f>Invoerscherm!F527</f>
        <v>0</v>
      </c>
      <c r="H141" s="35" t="str">
        <f>Invoerscherm!G527</f>
        <v>stuks</v>
      </c>
      <c r="I141" s="6">
        <f>Invoerscherm!H527</f>
        <v>0</v>
      </c>
      <c r="J141" s="35" t="str">
        <f>Invoerscherm!I527</f>
        <v>weken</v>
      </c>
      <c r="K141" s="82" t="str">
        <f>Invoerscherm!K527</f>
        <v>&lt;&lt; maak keuze &gt;&gt;</v>
      </c>
      <c r="L141" s="11" t="s">
        <v>442</v>
      </c>
      <c r="V141" s="6">
        <f>'Datablad 3'!C79</f>
        <v>10.5</v>
      </c>
      <c r="W141" s="6">
        <f>'Datablad 3'!D79</f>
        <v>10.5</v>
      </c>
      <c r="X141" s="35" t="str">
        <f>'Datablad 3'!E79</f>
        <v>kWh</v>
      </c>
      <c r="Y141" s="6">
        <f>IF($K$141="Grijze stroom",'Datablad 1'!B29,IF($K$141="Groene stroom",'Datablad 1'!B30,IF($K$141="Directe windenergie",'Datablad 1'!B31,IF($K$141="Directe zonne-energie",'Datablad 1'!B32,IF($K$141="Directe waterkracht",'Datablad 1'!B33,IF($K$141="Directe biomassa",'Datablad 1'!B34,0))))))</f>
        <v>0</v>
      </c>
      <c r="Z141" s="113">
        <f>Y141</f>
        <v>0</v>
      </c>
      <c r="AA141" s="35">
        <f>IF($K$141="Grijze stroom",'Datablad 1'!C29,IF($K$141="Groene stroom",'Datablad 1'!C30,IF($K$141="Directe windenergie",'Datablad 1'!C31,IF($K$141="Directe zonne-energie",'Datablad 1'!C32,IF($K$141="Directe waterkracht",'Datablad 1'!C33,IF($K$141="Directe biomassa",'Datablad 1'!C34,0))))))</f>
        <v>0</v>
      </c>
    </row>
    <row r="142" spans="1:30" ht="12.75">
      <c r="A142" s="6" t="s">
        <v>542</v>
      </c>
      <c r="B142" s="113" t="s">
        <v>586</v>
      </c>
      <c r="C142" s="287">
        <f>($G$142*(V142/1000)*Y142)+($I$142*AB142)</f>
        <v>0</v>
      </c>
      <c r="D142" s="287">
        <f>($G$142*(W142/1000)*Z142)+($I$142*AC142)</f>
        <v>0</v>
      </c>
      <c r="E142" s="7" t="s">
        <v>427</v>
      </c>
      <c r="G142" s="6">
        <f>Invoerscherm!F531</f>
        <v>0</v>
      </c>
      <c r="H142" s="35" t="str">
        <f>Invoerscherm!G531</f>
        <v>m³ lucht</v>
      </c>
      <c r="I142" s="85">
        <f>Invoerscherm!H531</f>
        <v>0</v>
      </c>
      <c r="J142" s="35" t="str">
        <f>Invoerscherm!I531</f>
        <v>kg kool</v>
      </c>
      <c r="K142" s="82" t="str">
        <f>Invoerscherm!K531</f>
        <v>&lt;&lt; maak keuze &gt;&gt;</v>
      </c>
      <c r="L142" s="11" t="s">
        <v>442</v>
      </c>
      <c r="V142" s="6">
        <f>'Datablad 3'!C116</f>
        <v>0.5</v>
      </c>
      <c r="W142" s="6">
        <f>'Datablad 3'!D116</f>
        <v>0.5</v>
      </c>
      <c r="X142" s="35" t="str">
        <f>'Datablad 3'!E116</f>
        <v>kWh / 1000 m3 lucht</v>
      </c>
      <c r="Y142" s="6">
        <f>IF($K$142="Grijze stroom",'Datablad 1'!B29,IF($K$142="Groene stroom",'Datablad 1'!B30,IF($K$142="Directe windenergie",'Datablad 1'!B31,IF($K$142="Directe zonne-energie",'Datablad 1'!B32,IF($K$142="Directe waterkracht",'Datablad 1'!B33,IF($K$142="Directe biomassa",'Datablad 1'!B34,0))))))</f>
        <v>0</v>
      </c>
      <c r="Z142" s="113">
        <f>Y142</f>
        <v>0</v>
      </c>
      <c r="AA142" s="35">
        <f>IF($K$142="Grijze stroom",'Datablad 1'!C29,IF($K$142="Groene stroom",'Datablad 1'!C30,IF($K$142="Directe windenergie",'Datablad 1'!C31,IF($K$142="Directe zonne-energie",'Datablad 1'!C32,IF($K$142="Directe waterkracht",'Datablad 1'!C33,IF($K$142="Directe biomassa",'Datablad 1'!C34,0))))))</f>
        <v>0</v>
      </c>
      <c r="AB142" s="85">
        <f>'Datablad 3'!C118+'Datablad 3'!C119</f>
        <v>0.1</v>
      </c>
      <c r="AC142" s="85">
        <f>'Datablad 3'!D118+'Datablad 3'!D119</f>
        <v>0.1</v>
      </c>
      <c r="AD142" s="126" t="s">
        <v>729</v>
      </c>
    </row>
    <row r="143" spans="1:27" ht="12.75">
      <c r="A143" s="6" t="s">
        <v>542</v>
      </c>
      <c r="B143" s="113" t="s">
        <v>588</v>
      </c>
      <c r="C143" s="287">
        <f>$G$143*(V143/1000)*Y143</f>
        <v>0</v>
      </c>
      <c r="D143" s="287">
        <f>$G$143*(W143/1000)*Z143</f>
        <v>0</v>
      </c>
      <c r="E143" s="7" t="s">
        <v>427</v>
      </c>
      <c r="G143" s="6">
        <f>Invoerscherm!F533</f>
        <v>0</v>
      </c>
      <c r="H143" s="35" t="str">
        <f>Invoerscherm!G533</f>
        <v>m³ lucht</v>
      </c>
      <c r="K143" s="82" t="str">
        <f>Invoerscherm!K533</f>
        <v>Directe waterkracht</v>
      </c>
      <c r="L143" s="11" t="s">
        <v>442</v>
      </c>
      <c r="V143" s="6">
        <f>'Datablad 3'!C121</f>
        <v>3</v>
      </c>
      <c r="W143" s="6">
        <f>'Datablad 3'!D121</f>
        <v>5</v>
      </c>
      <c r="X143" s="35" t="str">
        <f>'Datablad 3'!E121</f>
        <v>kWh / 1000 m3 lucht</v>
      </c>
      <c r="Y143" s="6">
        <f>IF($K$143="Grijze stroom",'Datablad 1'!B29,IF($K$143="Groene stroom",'Datablad 1'!B30,IF($K$143="Directe windenergie",'Datablad 1'!B31,IF($K$143="Directe zonne-energie",'Datablad 1'!B32,IF($K$143="Directe waterkracht",'Datablad 1'!B33,IF($K$143="Directe biomassa",'Datablad 1'!B34,0))))))</f>
        <v>0.015</v>
      </c>
      <c r="Z143" s="113">
        <f>Y143</f>
        <v>0.015</v>
      </c>
      <c r="AA143" s="35" t="str">
        <f>IF($K$143="Grijze stroom",'Datablad 1'!C29,IF($K$143="Groene stroom",'Datablad 1'!C30,IF($K$143="Directe windenergie",'Datablad 1'!C31,IF($K$143="Directe zonne-energie",'Datablad 1'!C32,IF($K$143="Directe waterkracht",'Datablad 1'!C33,IF($K$143="Directe biomassa",'Datablad 1'!C34,0))))))</f>
        <v>kg CO2/kWh</v>
      </c>
    </row>
    <row r="144" spans="1:24" ht="12.75">
      <c r="A144" s="6" t="s">
        <v>542</v>
      </c>
      <c r="B144" s="113" t="s">
        <v>593</v>
      </c>
      <c r="C144" s="287">
        <f>$G$144*V144</f>
        <v>0</v>
      </c>
      <c r="D144" s="287">
        <f>$G$144*W144</f>
        <v>0</v>
      </c>
      <c r="E144" s="7" t="s">
        <v>427</v>
      </c>
      <c r="G144" s="6">
        <f>Invoerscherm!F537</f>
        <v>0</v>
      </c>
      <c r="H144" s="35" t="str">
        <f>Invoerscherm!G537</f>
        <v>kg</v>
      </c>
      <c r="V144" s="6">
        <f>'Datablad 3'!C165</f>
        <v>0.37</v>
      </c>
      <c r="W144" s="6">
        <f>'Datablad 3'!D165</f>
        <v>0.37</v>
      </c>
      <c r="X144" s="6" t="str">
        <f>'Datablad 3'!E165</f>
        <v>kg CO2 / kg product</v>
      </c>
    </row>
    <row r="145" spans="1:24" ht="12.75">
      <c r="A145" s="6" t="s">
        <v>542</v>
      </c>
      <c r="B145" s="113" t="s">
        <v>594</v>
      </c>
      <c r="C145" s="287">
        <f>$G$145*V145</f>
        <v>0</v>
      </c>
      <c r="D145" s="287">
        <f>$G$145*W145</f>
        <v>0</v>
      </c>
      <c r="E145" s="7" t="s">
        <v>427</v>
      </c>
      <c r="G145" s="6">
        <f>Invoerscherm!F539</f>
        <v>0</v>
      </c>
      <c r="H145" s="35" t="str">
        <f>Invoerscherm!G539</f>
        <v>kg</v>
      </c>
      <c r="V145" s="44">
        <f>'Datablad 3'!C166</f>
        <v>0.6616541353383458</v>
      </c>
      <c r="W145" s="44">
        <f>'Datablad 3'!D166</f>
        <v>0.6616541353383458</v>
      </c>
      <c r="X145" s="44" t="str">
        <f>'Datablad 3'!E166</f>
        <v>kg CO2 / kg product</v>
      </c>
    </row>
    <row r="146" spans="1:24" ht="12.75">
      <c r="A146" s="113" t="s">
        <v>444</v>
      </c>
      <c r="B146" s="113" t="s">
        <v>428</v>
      </c>
      <c r="C146" s="273">
        <f>$G$146*$I$146*$K$146*V146*1.5</f>
        <v>0</v>
      </c>
      <c r="D146" s="273">
        <f>$G$146*$I$146*$K$146*W146*1.5</f>
        <v>0</v>
      </c>
      <c r="E146" s="7" t="s">
        <v>427</v>
      </c>
      <c r="G146" s="6">
        <f>Invoerscherm!C546</f>
        <v>0</v>
      </c>
      <c r="H146" s="35" t="str">
        <f>Invoerscherm!D546</f>
        <v>km</v>
      </c>
      <c r="I146" s="6">
        <f>Invoerscherm!C550</f>
        <v>0</v>
      </c>
      <c r="J146" s="35" t="str">
        <f>Invoerscherm!D550</f>
        <v>aantal keer rijden</v>
      </c>
      <c r="K146" s="44">
        <f>Invoerscherm!C554</f>
        <v>0</v>
      </c>
      <c r="L146" s="106" t="str">
        <f>Invoerscherm!D554</f>
        <v>L brandstof / km</v>
      </c>
      <c r="M146" s="114" t="str">
        <f>Invoerscherm!C558</f>
        <v>&lt;&lt; maak keuze &gt;&gt;</v>
      </c>
      <c r="N146" s="11" t="s">
        <v>422</v>
      </c>
      <c r="V146" s="44">
        <f>IF($M$146="Diesel",'Datablad 1'!B2+'Datablad 1'!B11,IF($M$146="Benzine",'Datablad 1'!B3+'Datablad 1'!B12,IF($M$146="LPG",'Datablad 1'!B4+'Datablad 1'!B13,IF($M$146="Biodiesel",'Datablad 1'!B8+'Datablad 1'!B17,0))))</f>
        <v>0</v>
      </c>
      <c r="W146" s="44">
        <f>V146</f>
        <v>0</v>
      </c>
      <c r="X146" s="35" t="s">
        <v>496</v>
      </c>
    </row>
    <row r="147" ht="12.75"/>
    <row r="148" spans="1:4" ht="12.75">
      <c r="A148" s="120" t="s">
        <v>463</v>
      </c>
      <c r="B148" s="121"/>
      <c r="C148" s="274">
        <f>SUM(C131:C138)</f>
        <v>0</v>
      </c>
      <c r="D148" s="274">
        <f>SUM(D131:D138)</f>
        <v>0</v>
      </c>
    </row>
    <row r="149" spans="1:4" ht="12.75">
      <c r="A149" s="120" t="s">
        <v>542</v>
      </c>
      <c r="B149" s="121"/>
      <c r="C149" s="274">
        <f>SUM(C139:C145)</f>
        <v>0</v>
      </c>
      <c r="D149" s="274">
        <f>SUM(D139:D145)</f>
        <v>0</v>
      </c>
    </row>
    <row r="150" spans="1:4" ht="12.75">
      <c r="A150" s="122" t="s">
        <v>444</v>
      </c>
      <c r="C150" s="274">
        <f>C146</f>
        <v>0</v>
      </c>
      <c r="D150" s="274">
        <f>D146</f>
        <v>0</v>
      </c>
    </row>
    <row r="151" spans="3:39" s="42" customFormat="1" ht="12.75">
      <c r="C151" s="280"/>
      <c r="D151" s="280"/>
      <c r="H151" s="281"/>
      <c r="J151" s="281"/>
      <c r="L151" s="281"/>
      <c r="N151" s="281"/>
      <c r="P151" s="281"/>
      <c r="Q151" s="282"/>
      <c r="R151" s="281"/>
      <c r="S151" s="282"/>
      <c r="T151" s="281"/>
      <c r="X151" s="281"/>
      <c r="AA151" s="281"/>
      <c r="AD151" s="281"/>
      <c r="AG151" s="281"/>
      <c r="AJ151" s="281"/>
      <c r="AM151" s="281"/>
    </row>
    <row r="152" spans="1:39" ht="15.75">
      <c r="A152" s="87" t="s">
        <v>595</v>
      </c>
      <c r="G152" s="13" t="s">
        <v>227</v>
      </c>
      <c r="H152" s="9"/>
      <c r="I152" s="3"/>
      <c r="J152" s="9"/>
      <c r="K152" s="3"/>
      <c r="L152" s="9"/>
      <c r="M152" s="3"/>
      <c r="N152" s="9"/>
      <c r="O152" s="3"/>
      <c r="P152" s="9"/>
      <c r="Q152" s="9"/>
      <c r="R152" s="9"/>
      <c r="S152" s="9"/>
      <c r="T152" s="9"/>
      <c r="U152" s="34"/>
      <c r="V152" s="1" t="s">
        <v>228</v>
      </c>
      <c r="W152" s="1"/>
      <c r="X152" s="9"/>
      <c r="Y152" s="3"/>
      <c r="Z152" s="3"/>
      <c r="AA152" s="9"/>
      <c r="AB152" s="3"/>
      <c r="AC152" s="3"/>
      <c r="AD152" s="9"/>
      <c r="AE152" s="3"/>
      <c r="AF152" s="3"/>
      <c r="AG152" s="9"/>
      <c r="AH152" s="3"/>
      <c r="AI152" s="3"/>
      <c r="AJ152" s="9"/>
      <c r="AK152" s="3"/>
      <c r="AL152" s="3"/>
      <c r="AM152" s="9"/>
    </row>
    <row r="153" spans="7:38" ht="12.75">
      <c r="G153"/>
      <c r="I153"/>
      <c r="K153"/>
      <c r="M153"/>
      <c r="O153"/>
      <c r="Q153" s="35"/>
      <c r="S153" s="35"/>
      <c r="U153" s="36"/>
      <c r="V153"/>
      <c r="W153"/>
      <c r="Y153"/>
      <c r="Z153"/>
      <c r="AB153"/>
      <c r="AC153"/>
      <c r="AE153"/>
      <c r="AF153"/>
      <c r="AH153"/>
      <c r="AI153"/>
      <c r="AK153"/>
      <c r="AL153"/>
    </row>
    <row r="154" spans="1:39" ht="12.75">
      <c r="A154" s="14" t="s">
        <v>229</v>
      </c>
      <c r="B154" s="14" t="s">
        <v>230</v>
      </c>
      <c r="C154" s="272" t="s">
        <v>231</v>
      </c>
      <c r="D154" s="272" t="s">
        <v>232</v>
      </c>
      <c r="E154" s="37" t="s">
        <v>233</v>
      </c>
      <c r="G154" s="14" t="s">
        <v>234</v>
      </c>
      <c r="H154" s="37" t="s">
        <v>233</v>
      </c>
      <c r="I154" s="14" t="s">
        <v>235</v>
      </c>
      <c r="J154" s="37" t="s">
        <v>233</v>
      </c>
      <c r="K154" s="14" t="s">
        <v>236</v>
      </c>
      <c r="L154" s="37" t="s">
        <v>233</v>
      </c>
      <c r="M154" s="14" t="s">
        <v>237</v>
      </c>
      <c r="N154" s="37" t="s">
        <v>233</v>
      </c>
      <c r="O154" s="14" t="s">
        <v>238</v>
      </c>
      <c r="P154" s="37" t="s">
        <v>233</v>
      </c>
      <c r="Q154" s="14" t="s">
        <v>421</v>
      </c>
      <c r="R154" s="37" t="s">
        <v>233</v>
      </c>
      <c r="S154" s="14" t="s">
        <v>507</v>
      </c>
      <c r="T154" s="37" t="s">
        <v>233</v>
      </c>
      <c r="U154" s="38"/>
      <c r="V154" s="14" t="s">
        <v>239</v>
      </c>
      <c r="W154" s="14" t="s">
        <v>240</v>
      </c>
      <c r="X154" s="37" t="s">
        <v>233</v>
      </c>
      <c r="Y154" s="14" t="s">
        <v>241</v>
      </c>
      <c r="Z154" s="14" t="s">
        <v>242</v>
      </c>
      <c r="AA154" s="37" t="s">
        <v>233</v>
      </c>
      <c r="AB154" s="14" t="s">
        <v>243</v>
      </c>
      <c r="AC154" s="14" t="s">
        <v>244</v>
      </c>
      <c r="AD154" s="37" t="s">
        <v>233</v>
      </c>
      <c r="AE154" s="14" t="s">
        <v>245</v>
      </c>
      <c r="AF154" s="14" t="s">
        <v>246</v>
      </c>
      <c r="AG154" s="37" t="s">
        <v>233</v>
      </c>
      <c r="AH154" s="14" t="s">
        <v>247</v>
      </c>
      <c r="AI154" s="14" t="s">
        <v>248</v>
      </c>
      <c r="AJ154" s="37" t="s">
        <v>233</v>
      </c>
      <c r="AK154" s="14" t="s">
        <v>249</v>
      </c>
      <c r="AL154" s="14" t="s">
        <v>250</v>
      </c>
      <c r="AM154" s="37" t="s">
        <v>233</v>
      </c>
    </row>
    <row r="155" spans="1:36" ht="12.75">
      <c r="A155" s="48" t="s">
        <v>463</v>
      </c>
      <c r="B155" s="6" t="s">
        <v>532</v>
      </c>
      <c r="C155" s="287">
        <f>(((((((PI()*POWER($S$155/10,2))-(PI()*POWER(($S$155-V155)/10,2)))*($G$155*100))*Y155)/100)*AB155)*$I$155)+(IF($Q$155="Gestandaardiseerde berekening",$G$155*$I$155*'Datablad 3'!C131*AH155,$G$155*$I$155*AE155*AH155))</f>
        <v>0</v>
      </c>
      <c r="D155" s="287">
        <f>(((((((PI()*POWER($S$155/10,2))-(PI()*POWER(($S$155-W155)/10,2)))*($G$155*100))*Z155)/100)*AC155)*$I$155)+(IF($Q$155="Gestandaardiseerde berekening",$G$155*$I$155*'Datablad 3'!D131*AI155,$G$155*$I$155*AF155*AI155))</f>
        <v>0</v>
      </c>
      <c r="E155" s="7" t="s">
        <v>427</v>
      </c>
      <c r="G155" s="6">
        <f>Invoerscherm!E572</f>
        <v>0</v>
      </c>
      <c r="H155" s="35" t="str">
        <f>Invoerscherm!F572</f>
        <v>m</v>
      </c>
      <c r="I155" s="6">
        <f>Invoerscherm!G572</f>
        <v>0</v>
      </c>
      <c r="J155" s="35" t="str">
        <f>Invoerscherm!H572</f>
        <v>stuks</v>
      </c>
      <c r="K155" s="135" t="str">
        <f>Invoerscherm!I572</f>
        <v>&lt;&lt; maak keuze &gt;&gt;</v>
      </c>
      <c r="L155" s="11" t="s">
        <v>464</v>
      </c>
      <c r="M155" s="135" t="str">
        <f>Invoerscherm!L572</f>
        <v>&lt;&lt; maak keuze &gt;&gt;</v>
      </c>
      <c r="N155" s="11" t="s">
        <v>465</v>
      </c>
      <c r="O155" s="135" t="str">
        <f>Invoerscherm!O572</f>
        <v>&lt;&lt; maak keuze &gt;&gt;</v>
      </c>
      <c r="P155" s="11" t="s">
        <v>477</v>
      </c>
      <c r="Q155" s="115" t="str">
        <f>Invoerscherm!C568</f>
        <v>&lt;&lt; maak keuze &gt;&gt;</v>
      </c>
      <c r="R155" s="11" t="s">
        <v>505</v>
      </c>
      <c r="S155" s="48">
        <f aca="true" t="shared" si="11" ref="S155:S162">IF(M155="32 mm",32/2,IF(M155="50 mm",50/2,IF(M155="90 mm",90/2,IF(M155="110 mm",110/2,IF(M155="250 mm",250/2,0)))))</f>
        <v>0</v>
      </c>
      <c r="T155" s="35" t="s">
        <v>508</v>
      </c>
      <c r="V155" s="6">
        <f>IF($M$155="32 mm",'Datablad 3'!C142,IF($M$155="50 mm",'Datablad 3'!C143,IF($M$155="90 mm",'Datablad 3'!C144,IF($M$155="110 mm",'Datablad 3'!C145,IF($M$155="250 mm",'Datablad 3'!C146,0)))))</f>
        <v>0</v>
      </c>
      <c r="W155" s="6">
        <f>IF($M$155="32 mm",'Datablad 3'!D142,IF($M$155="50 mm",'Datablad 3'!D143,IF($M$155="90 mm",'Datablad 3'!D144,IF($M$155="110 mm",'Datablad 3'!D145,IF($M$155="250 mm",'Datablad 3'!D146,0)))))</f>
        <v>0</v>
      </c>
      <c r="X155" s="35">
        <f>IF($M$155="32 mm",'Datablad 3'!E142,IF($M$155="50 mm",'Datablad 3'!E143,IF($M$155="90 mm",'Datablad 3'!E144,IF($M$155="110 mm",'Datablad 3'!E145,IF($M$155="250 mm",'Datablad 3'!E146,0)))))</f>
        <v>0</v>
      </c>
      <c r="Y155" s="6">
        <f>IF($K$155="PVC",'Datablad 1'!B45,IF($K$155="HDPE",'Datablad 1'!B46,IF($K$155="LDPE",'Datablad 1'!B47,IF($K$155="RVS",'Datablad 1'!D52,0))))</f>
        <v>0</v>
      </c>
      <c r="Z155" s="6">
        <f aca="true" t="shared" si="12" ref="Z155:Z162">Y155</f>
        <v>0</v>
      </c>
      <c r="AA155" s="35">
        <f>IF($K$155="PVC",'Datablad 1'!C45,IF($K$155="HDPE",'Datablad 1'!C46,IF($K$155="LDPE",'Datablad 1'!C47,IF($K$155="RVS",'Datablad 1'!E52,0))))</f>
        <v>0</v>
      </c>
      <c r="AB155" s="91">
        <f>IF($K$155="PVC",'Datablad 3'!C137,IF($K$155="HDPE",'Datablad 3'!C138,IF($K$155="LDPE",'Datablad 3'!C139,IF($K$155="RVS",'Datablad 3'!C140,0))))</f>
        <v>0</v>
      </c>
      <c r="AC155" s="91">
        <f>IF($K$155="PVC",'Datablad 3'!D137,IF($K$155="HDPE",'Datablad 3'!D138,IF($K$155="LDPE",'Datablad 3'!D139,IF($K$155="RVS",'Datablad 3'!D140,0))))</f>
        <v>0</v>
      </c>
      <c r="AD155" s="108">
        <f>IF($K$155="PVC",'Datablad 3'!E137,IF($K$155="HDPE",'Datablad 3'!E138,IF($K$155="LDPE",'Datablad 3'!E139,IF($K$155="RVS",'Datablad 3'!E140,0))))</f>
        <v>0</v>
      </c>
      <c r="AE155" s="93">
        <f>IF($O$155="Avegaarboren",'Datablad 3'!C127,IF($O$155="Geoprobe",'Datablad 3'!C128,IF($O$155="Pulsen",'Datablad 3'!C129,IF($O$155="Sonic drilling",'Datablad 3'!C130,0))))</f>
        <v>0</v>
      </c>
      <c r="AF155" s="93">
        <f>IF($O$155="Avegaarboren",'Datablad 3'!D127,IF($O$155="Geoprobe",'Datablad 3'!D128,IF($O$155="Pulsen",'Datablad 3'!D129,IF($O$155="Sonic drilling",'Datablad 3'!D130,0))))</f>
        <v>0</v>
      </c>
      <c r="AG155" s="95">
        <f>IF($O$155="Avegaarboren",'Datablad 3'!E127,IF($O$155="Geoprobe",'Datablad 3'!E128,IF($O$155="Pulsen",'Datablad 3'!E129,IF($O$155="Sonic drilling",'Datablad 3'!E130,0))))</f>
        <v>0</v>
      </c>
      <c r="AH155" s="91">
        <f>'Datablad 1'!B2+'Datablad 1'!B11</f>
        <v>3.1357</v>
      </c>
      <c r="AI155" s="91">
        <f>AH155</f>
        <v>3.1357</v>
      </c>
      <c r="AJ155" s="11" t="s">
        <v>22</v>
      </c>
    </row>
    <row r="156" spans="1:36" ht="12.75">
      <c r="A156" s="48" t="s">
        <v>463</v>
      </c>
      <c r="B156" s="6" t="s">
        <v>533</v>
      </c>
      <c r="C156" s="287">
        <f>(((((((PI()*POWER($S$156/10,2))-(PI()*POWER(($S$156-V156)/10,2)))*($G$156*100))*Y156)/100)*AB156)*$I$156)+(IF($Q$156="Gestandaardiseerde berekening",$G$156*$I$156*'Datablad 3'!C131*AH156,$G$156*$I$156*AE156*AH156))</f>
        <v>0</v>
      </c>
      <c r="D156" s="287">
        <f>(((((((PI()*POWER($S$156/10,2))-(PI()*POWER(($S$156-W156)/10,2)))*($G$156*100))*Z156)/100)*AC156)*$I$156)+(IF($Q$156="Gestandaardiseerde berekening",$G$156*$I$156*'Datablad 3'!D131*AI156,$G$156*$I$156*AF156*AI156))</f>
        <v>0</v>
      </c>
      <c r="E156" s="7" t="s">
        <v>427</v>
      </c>
      <c r="G156" s="6">
        <f>Invoerscherm!E574</f>
        <v>0</v>
      </c>
      <c r="H156" s="35" t="str">
        <f>Invoerscherm!F574</f>
        <v>m</v>
      </c>
      <c r="I156" s="6">
        <f>Invoerscherm!G574</f>
        <v>0</v>
      </c>
      <c r="J156" s="35" t="str">
        <f>Invoerscherm!H574</f>
        <v>stuks</v>
      </c>
      <c r="K156" s="135" t="str">
        <f>Invoerscherm!I574</f>
        <v>&lt;&lt; maak keuze &gt;&gt;</v>
      </c>
      <c r="L156" s="11" t="s">
        <v>464</v>
      </c>
      <c r="M156" s="135" t="str">
        <f>Invoerscherm!L574</f>
        <v>&lt;&lt; maak keuze &gt;&gt;</v>
      </c>
      <c r="N156" s="11" t="s">
        <v>465</v>
      </c>
      <c r="O156" s="135" t="str">
        <f>Invoerscherm!O574</f>
        <v>&lt;&lt; maak keuze &gt;&gt;</v>
      </c>
      <c r="P156" s="11" t="s">
        <v>477</v>
      </c>
      <c r="Q156" s="115" t="str">
        <f>Invoerscherm!C568</f>
        <v>&lt;&lt; maak keuze &gt;&gt;</v>
      </c>
      <c r="R156" s="11" t="s">
        <v>505</v>
      </c>
      <c r="S156" s="48">
        <f t="shared" si="11"/>
        <v>0</v>
      </c>
      <c r="T156" s="35" t="s">
        <v>508</v>
      </c>
      <c r="V156" s="6">
        <f>IF($M$156="32 mm",'Datablad 3'!C142,IF($M$156="50 mm",'Datablad 3'!C143,IF($M$156="90 mm",'Datablad 3'!C144,IF($M$156="110 mm",'Datablad 3'!C145,IF($M$156="250 mm",'Datablad 3'!C146,0)))))</f>
        <v>0</v>
      </c>
      <c r="W156" s="6">
        <f>IF($M$156="32 mm",'Datablad 3'!D142,IF($M$156="50 mm",'Datablad 3'!D143,IF($M$156="90 mm",'Datablad 3'!D144,IF($M$156="110 mm",'Datablad 3'!D145,IF($M$156="250 mm",'Datablad 3'!D146,0)))))</f>
        <v>0</v>
      </c>
      <c r="X156" s="35">
        <f>IF($M$156="32 mm",'Datablad 3'!E142,IF($M$156="50 mm",'Datablad 3'!E143,IF($M$156="90 mm",'Datablad 3'!E144,IF($M$156="110 mm",'Datablad 3'!E145,IF($M$156="250 mm",'Datablad 3'!E146,0)))))</f>
        <v>0</v>
      </c>
      <c r="Y156" s="6">
        <f>IF($K$156="PVC",'Datablad 1'!B45,IF($K$156="HDPE",'Datablad 1'!B46,IF($K$156="LDPE",'Datablad 1'!B47,IF($K$156="RVS",'Datablad 1'!D52,0))))</f>
        <v>0</v>
      </c>
      <c r="Z156" s="6">
        <f t="shared" si="12"/>
        <v>0</v>
      </c>
      <c r="AA156" s="35">
        <f>IF($K$156="PVC",'Datablad 1'!C45,IF($K$156="HDPE",'Datablad 1'!C46,IF($K$156="LDPE",'Datablad 1'!C47,IF($K$156="RVS",'Datablad 1'!E52,0))))</f>
        <v>0</v>
      </c>
      <c r="AB156" s="91">
        <f>IF($K$156="PVC",'Datablad 3'!C137,IF($K$156="HDPE",'Datablad 3'!C138,IF($K$156="LDPE",'Datablad 3'!C139,IF($K$156="RVS",'Datablad 3'!C140,0))))</f>
        <v>0</v>
      </c>
      <c r="AC156" s="91">
        <f>IF($K$156="PVC",'Datablad 3'!D137,IF($K$156="HDPE",'Datablad 3'!D138,IF($K$156="LDPE",'Datablad 3'!D139,IF($K$156="RVS",'Datablad 3'!D140,0))))</f>
        <v>0</v>
      </c>
      <c r="AD156" s="108">
        <f>IF($K$156="PVC",'Datablad 3'!E137,IF($K$156="HDPE",'Datablad 3'!E138,IF($K$156="LDPE",'Datablad 3'!E139,IF($K$156="RVS",'Datablad 3'!E140,0))))</f>
        <v>0</v>
      </c>
      <c r="AE156" s="93">
        <f>IF($O$156="Avegaarboren",'Datablad 3'!C127,IF($O$156="Geoprobe",'Datablad 3'!C128,IF($O$156="Pulsen",'Datablad 3'!C129,IF($O$156="Sonic drilling",'Datablad 3'!C130,0))))</f>
        <v>0</v>
      </c>
      <c r="AF156" s="93">
        <f>IF($O$156="Avegaarboren",'Datablad 3'!D127,IF($O$156="Geoprobe",'Datablad 3'!D128,IF($O$156="Pulsen",'Datablad 3'!D129,IF($O$156="Sonic drilling",'Datablad 3'!D130,0))))</f>
        <v>0</v>
      </c>
      <c r="AG156" s="95">
        <f>IF($O$156="Avegaarboren",'Datablad 3'!E127,IF($O$156="Geoprobe",'Datablad 3'!E128,IF($O$156="Pulsen",'Datablad 3'!E129,IF($O$156="Sonic drilling",'Datablad 3'!E130,0))))</f>
        <v>0</v>
      </c>
      <c r="AH156" s="91">
        <f>'Datablad 1'!B2+'Datablad 1'!B11</f>
        <v>3.1357</v>
      </c>
      <c r="AI156" s="91">
        <f>AH156</f>
        <v>3.1357</v>
      </c>
      <c r="AJ156" s="11" t="s">
        <v>22</v>
      </c>
    </row>
    <row r="157" spans="1:36" ht="12.75">
      <c r="A157" s="48" t="s">
        <v>463</v>
      </c>
      <c r="B157" s="6" t="s">
        <v>534</v>
      </c>
      <c r="C157" s="287">
        <f>(((((((PI()*POWER($S$157/10,2))-(PI()*POWER(($S$157-V157)/10,2)))*($G$157*100))*Y157)/100)*AB157)*$I$157)+(IF($Q$157="Gestandaardiseerde berekening",$G$157*$I$157*'Datablad 3'!C131*AH157,$G$157*$I$157*AE157*AH157))</f>
        <v>0</v>
      </c>
      <c r="D157" s="287">
        <f>(((((((PI()*POWER($S$157/10,2))-(PI()*POWER(($S$157-W157)/10,2)))*($G$157*100))*Z157)/100)*AC157)*$I$157)+(IF($Q$157="Gestandaardiseerde berekening",$G$157*$I$157*'Datablad 3'!D131*AI157,$G$157*$I$157*AF157*AI157))</f>
        <v>0</v>
      </c>
      <c r="E157" s="7" t="s">
        <v>427</v>
      </c>
      <c r="G157" s="6">
        <f>Invoerscherm!E576</f>
        <v>0</v>
      </c>
      <c r="H157" s="35" t="str">
        <f>Invoerscherm!F576</f>
        <v>m</v>
      </c>
      <c r="I157" s="6">
        <f>Invoerscherm!G576</f>
        <v>0</v>
      </c>
      <c r="J157" s="35" t="str">
        <f>Invoerscherm!H576</f>
        <v>stuks</v>
      </c>
      <c r="K157" s="135" t="str">
        <f>Invoerscherm!I576</f>
        <v>&lt;&lt; maak keuze &gt;&gt;</v>
      </c>
      <c r="L157" s="11" t="s">
        <v>464</v>
      </c>
      <c r="M157" s="135" t="str">
        <f>Invoerscherm!L576</f>
        <v>&lt;&lt; maak keuze &gt;&gt;</v>
      </c>
      <c r="N157" s="11" t="s">
        <v>465</v>
      </c>
      <c r="O157" s="135" t="str">
        <f>Invoerscherm!O576</f>
        <v>&lt;&lt; maak keuze &gt;&gt;</v>
      </c>
      <c r="P157" s="11" t="s">
        <v>477</v>
      </c>
      <c r="Q157" s="115" t="str">
        <f>Invoerscherm!C568</f>
        <v>&lt;&lt; maak keuze &gt;&gt;</v>
      </c>
      <c r="R157" s="11" t="s">
        <v>505</v>
      </c>
      <c r="S157" s="48">
        <f t="shared" si="11"/>
        <v>0</v>
      </c>
      <c r="T157" s="35" t="s">
        <v>508</v>
      </c>
      <c r="V157" s="6">
        <f>IF($M$157="32 mm",'Datablad 3'!C142,IF($M$157="50 mm",'Datablad 3'!C143,IF($M$157="90 mm",'Datablad 3'!C144,IF($M$157="110 mm",'Datablad 3'!C145,IF($M$157="250 mm",'Datablad 3'!C146,0)))))</f>
        <v>0</v>
      </c>
      <c r="W157" s="6">
        <f>IF($M$157="32 mm",'Datablad 3'!D142,IF($M$157="50 mm",'Datablad 3'!D143,IF($M$157="90 mm",'Datablad 3'!D144,IF($M$157="110 mm",'Datablad 3'!D145,IF($M$157="250 mm",'Datablad 3'!D146,0)))))</f>
        <v>0</v>
      </c>
      <c r="X157" s="35">
        <f>IF($M$157="32 mm",'Datablad 3'!E142,IF($M$157="50 mm",'Datablad 3'!E143,IF($M$157="90 mm",'Datablad 3'!E144,IF($M$157="110 mm",'Datablad 3'!E145,IF($M$157="250 mm",'Datablad 3'!E146,0)))))</f>
        <v>0</v>
      </c>
      <c r="Y157" s="6">
        <f>IF($K$157="PVC",'Datablad 1'!B45,IF($K$157="HDPE",'Datablad 1'!B46,IF($K$157="LDPE",'Datablad 1'!B47,IF($K$157="RVS",'Datablad 1'!D52,0))))</f>
        <v>0</v>
      </c>
      <c r="Z157" s="6">
        <f t="shared" si="12"/>
        <v>0</v>
      </c>
      <c r="AA157" s="35">
        <f>IF($K$157="PVC",'Datablad 1'!C45,IF($K$157="HDPE",'Datablad 1'!C46,IF($K$157="LDPE",'Datablad 1'!C47,IF($K$157="RVS",'Datablad 1'!E52,0))))</f>
        <v>0</v>
      </c>
      <c r="AB157" s="91">
        <f>IF($K$157="PVC",'Datablad 3'!C137,IF($K$157="HDPE",'Datablad 3'!C138,IF($K$157="LDPE",'Datablad 3'!C139,IF($K$157="RVS",'Datablad 3'!C140,0))))</f>
        <v>0</v>
      </c>
      <c r="AC157" s="91">
        <f>IF($K$157="PVC",'Datablad 3'!D137,IF($K$157="HDPE",'Datablad 3'!D138,IF($K$157="LDPE",'Datablad 3'!D139,IF($K$157="RVS",'Datablad 3'!D140,0))))</f>
        <v>0</v>
      </c>
      <c r="AD157" s="108">
        <f>IF($K$157="PVC",'Datablad 3'!E137,IF($K$157="HDPE",'Datablad 3'!E138,IF($K$157="LDPE",'Datablad 3'!E139,IF($K$157="RVS",'Datablad 3'!E140,0))))</f>
        <v>0</v>
      </c>
      <c r="AE157" s="93">
        <f>IF($O$157="Avegaarboren",'Datablad 3'!C127,IF($O$157="Geoprobe",'Datablad 3'!C128,IF($O$157="Pulsen",'Datablad 3'!C129,IF($O$157="Sonic drilling",'Datablad 3'!C130,0))))</f>
        <v>0</v>
      </c>
      <c r="AF157" s="93">
        <f>IF($O$157="Avegaarboren",'Datablad 3'!D127,IF($O$157="Geoprobe",'Datablad 3'!D128,IF($O$157="Pulsen",'Datablad 3'!D129,IF($O$157="Sonic drilling",'Datablad 3'!D130,0))))</f>
        <v>0</v>
      </c>
      <c r="AG157" s="95">
        <f>IF($O$157="Avegaarboren",'Datablad 3'!E127,IF($O$157="Geoprobe",'Datablad 3'!E128,IF($O$157="Pulsen",'Datablad 3'!E129,IF($O$157="Sonic drilling",'Datablad 3'!E130,0))))</f>
        <v>0</v>
      </c>
      <c r="AH157" s="91">
        <f>'Datablad 1'!B2+'Datablad 1'!B11</f>
        <v>3.1357</v>
      </c>
      <c r="AI157" s="91">
        <f>AH157</f>
        <v>3.1357</v>
      </c>
      <c r="AJ157" s="11" t="s">
        <v>22</v>
      </c>
    </row>
    <row r="158" spans="1:36" ht="12.75">
      <c r="A158" s="48" t="s">
        <v>463</v>
      </c>
      <c r="B158" s="6" t="s">
        <v>535</v>
      </c>
      <c r="C158" s="287">
        <f>(((((((PI()*POWER($S$158/10,2))-(PI()*POWER(($S$158-V158)/10,2)))*($G$158*100))*Y158)/100)*AB158)*$I$158)+(IF($Q$158="Gestandaardiseerde berekening",$G$158*$I$158*'Datablad 3'!C131*AH158,$G$158*$I$158*AE158*AH158))</f>
        <v>0</v>
      </c>
      <c r="D158" s="287">
        <f>(((((((PI()*POWER($S$158/10,2))-(PI()*POWER(($S$158-W158)/10,2)))*($G$158*100))*Z158)/100)*AC158)*$I$158)+(IF($Q$158="Gestandaardiseerde berekening",$G$158*$I$158*'Datablad 3'!D131*AI158,$G$158*$I$158*AF158*AI158))</f>
        <v>0</v>
      </c>
      <c r="E158" s="7" t="s">
        <v>427</v>
      </c>
      <c r="G158" s="6">
        <f>Invoerscherm!E578</f>
        <v>0</v>
      </c>
      <c r="H158" s="35" t="str">
        <f>Invoerscherm!F578</f>
        <v>m</v>
      </c>
      <c r="I158" s="6">
        <f>Invoerscherm!G578</f>
        <v>0</v>
      </c>
      <c r="J158" s="35" t="str">
        <f>Invoerscherm!H578</f>
        <v>stuks</v>
      </c>
      <c r="K158" s="135" t="str">
        <f>Invoerscherm!I578</f>
        <v>&lt;&lt; maak keuze &gt;&gt;</v>
      </c>
      <c r="L158" s="11" t="s">
        <v>464</v>
      </c>
      <c r="M158" s="135" t="str">
        <f>Invoerscherm!L578</f>
        <v>&lt;&lt; maak keuze &gt;&gt;</v>
      </c>
      <c r="N158" s="11" t="s">
        <v>465</v>
      </c>
      <c r="O158" s="135" t="str">
        <f>Invoerscherm!O578</f>
        <v>&lt;&lt; maak keuze &gt;&gt;</v>
      </c>
      <c r="P158" s="11" t="s">
        <v>477</v>
      </c>
      <c r="Q158" s="115" t="str">
        <f>Invoerscherm!C568</f>
        <v>&lt;&lt; maak keuze &gt;&gt;</v>
      </c>
      <c r="R158" s="11" t="s">
        <v>505</v>
      </c>
      <c r="S158" s="48">
        <f t="shared" si="11"/>
        <v>0</v>
      </c>
      <c r="T158" s="35" t="s">
        <v>508</v>
      </c>
      <c r="V158" s="6">
        <f>IF($M$158="32 mm",'Datablad 3'!C142,IF($M$158="50 mm",'Datablad 3'!C143,IF($M$158="90 mm",'Datablad 3'!C144,IF($M$158="110 mm",'Datablad 3'!C145,IF($M$158="250 mm",'Datablad 3'!C146,0)))))</f>
        <v>0</v>
      </c>
      <c r="W158" s="6">
        <f>IF($M$158="32 mm",'Datablad 3'!D142,IF($M$158="50 mm",'Datablad 3'!D143,IF($M$158="90 mm",'Datablad 3'!D144,IF($M$158="110 mm",'Datablad 3'!D145,IF($M$158="250 mm",'Datablad 3'!D146,0)))))</f>
        <v>0</v>
      </c>
      <c r="X158" s="35">
        <f>IF($M$158="32 mm",'Datablad 3'!E142,IF($M$158="50 mm",'Datablad 3'!E143,IF($M$158="90 mm",'Datablad 3'!E144,IF($M$158="110 mm",'Datablad 3'!E145,IF($M$158="250 mm",'Datablad 3'!E146,0)))))</f>
        <v>0</v>
      </c>
      <c r="Y158" s="6">
        <f>IF($K$158="PVC",'Datablad 1'!B45,IF($K$158="HDPE",'Datablad 1'!B46,IF($K$158="LDPE",'Datablad 1'!B47,IF($K$158="RVS",'Datablad 1'!D52,0))))</f>
        <v>0</v>
      </c>
      <c r="Z158" s="6">
        <f t="shared" si="12"/>
        <v>0</v>
      </c>
      <c r="AA158" s="35">
        <f>IF($K$158="PVC",'Datablad 1'!C45,IF($K$158="HDPE",'Datablad 1'!C46,IF($K$158="LDPE",'Datablad 1'!C47,IF($K$158="RVS",'Datablad 1'!E52,0))))</f>
        <v>0</v>
      </c>
      <c r="AB158" s="91">
        <f>IF($K$158="PVC",'Datablad 3'!C137,IF($K$158="HDPE",'Datablad 3'!C138,IF($K$158="LDPE",'Datablad 3'!C139,IF($K$158="RVS",'Datablad 3'!C140,0))))</f>
        <v>0</v>
      </c>
      <c r="AC158" s="91">
        <f>IF($K$158="PVC",'Datablad 3'!D137,IF($K$158="HDPE",'Datablad 3'!D138,IF($K$158="LDPE",'Datablad 3'!D139,IF($K$158="RVS",'Datablad 3'!D140,0))))</f>
        <v>0</v>
      </c>
      <c r="AD158" s="108">
        <f>IF($K$158="PVC",'Datablad 3'!E137,IF($K$158="HDPE",'Datablad 3'!E138,IF($K$158="LDPE",'Datablad 3'!E139,IF($K$158="RVS",'Datablad 3'!E140,0))))</f>
        <v>0</v>
      </c>
      <c r="AE158" s="93">
        <f>IF($O$158="Avegaarboren",'Datablad 3'!C127,IF($O$158="Geoprobe",'Datablad 3'!C128,IF($O$158="Pulsen",'Datablad 3'!C129,IF($O$158="Sonic drilling",'Datablad 3'!C130,0))))</f>
        <v>0</v>
      </c>
      <c r="AF158" s="93">
        <f>IF($O$158="Avegaarboren",'Datablad 3'!D127,IF($O$158="Geoprobe",'Datablad 3'!D128,IF($O$158="Pulsen",'Datablad 3'!D129,IF($O$158="Sonic drilling",'Datablad 3'!D130,0))))</f>
        <v>0</v>
      </c>
      <c r="AG158" s="95">
        <f>IF($O$158="Avegaarboren",'Datablad 3'!E127,IF($O$158="Geoprobe",'Datablad 3'!E128,IF($O$158="Pulsen",'Datablad 3'!E129,IF($O$158="Sonic drilling",'Datablad 3'!E130,0))))</f>
        <v>0</v>
      </c>
      <c r="AH158" s="91">
        <f>'Datablad 1'!B2+'Datablad 1'!B11</f>
        <v>3.1357</v>
      </c>
      <c r="AI158" s="91">
        <f>AH158</f>
        <v>3.1357</v>
      </c>
      <c r="AJ158" s="11" t="s">
        <v>22</v>
      </c>
    </row>
    <row r="159" spans="1:30" ht="12.75">
      <c r="A159" s="48" t="s">
        <v>463</v>
      </c>
      <c r="B159" s="6" t="s">
        <v>536</v>
      </c>
      <c r="C159" s="287">
        <f>(((((((PI()*POWER($S$159/10,2))-(PI()*POWER(($S$159-V159)/10,2)))*($G$159*100))*Y159)/100)*AB159)*$I$159)</f>
        <v>0</v>
      </c>
      <c r="D159" s="287">
        <f>(((((((PI()*POWER($S$159/10,2))-(PI()*POWER(($S$159-W159)/10,2)))*($G$159*100))*Z159)/100)*AC159)*$I$159)</f>
        <v>0</v>
      </c>
      <c r="E159" s="7" t="s">
        <v>427</v>
      </c>
      <c r="G159" s="6">
        <f>Invoerscherm!E582</f>
        <v>0</v>
      </c>
      <c r="H159" s="35" t="str">
        <f>Invoerscherm!F582</f>
        <v>m</v>
      </c>
      <c r="I159" s="6">
        <f>Invoerscherm!G582</f>
        <v>0</v>
      </c>
      <c r="J159" s="35" t="str">
        <f>Invoerscherm!H582</f>
        <v>stuks</v>
      </c>
      <c r="K159" s="135" t="str">
        <f>Invoerscherm!I582</f>
        <v>&lt;&lt; maak keuze &gt;&gt;</v>
      </c>
      <c r="L159" s="11" t="s">
        <v>464</v>
      </c>
      <c r="M159" s="135" t="str">
        <f>Invoerscherm!L582</f>
        <v>&lt;&lt; maak keuze &gt;&gt;</v>
      </c>
      <c r="N159" s="11" t="s">
        <v>465</v>
      </c>
      <c r="S159" s="48">
        <f t="shared" si="11"/>
        <v>0</v>
      </c>
      <c r="T159" s="35" t="s">
        <v>508</v>
      </c>
      <c r="V159" s="6">
        <f>IF($M$159="32 mm",'Datablad 3'!C142,IF($M$159="50 mm",'Datablad 3'!C143,IF($M$159="90 mm",'Datablad 3'!C144,IF($M$159="110 mm",'Datablad 3'!C145,IF($M$159="250 mm",'Datablad 3'!C146,0)))))</f>
        <v>0</v>
      </c>
      <c r="W159" s="6">
        <f>IF($M$159="32 mm",'Datablad 3'!D142,IF($M$159="50 mm",'Datablad 3'!D143,IF($M$159="90 mm",'Datablad 3'!D144,IF($M$159="110 mm",'Datablad 3'!D145,IF($M$159="250 mm",'Datablad 3'!D146,0)))))</f>
        <v>0</v>
      </c>
      <c r="X159" s="35">
        <f>IF($M$159="32 mm",'Datablad 3'!E142,IF($M$159="50 mm",'Datablad 3'!E143,IF($M$159="90 mm",'Datablad 3'!E144,IF($M$159="110 mm",'Datablad 3'!E145,IF($M$159="250 mm",'Datablad 3'!E146,0)))))</f>
        <v>0</v>
      </c>
      <c r="Y159" s="6">
        <f>IF($K$159="PVC",'Datablad 1'!B45,IF($K$159="HDPE",'Datablad 1'!B46,IF($K$159="LDPE",'Datablad 1'!B47,IF($K$159="RVS",'Datablad 1'!D52,0))))</f>
        <v>0</v>
      </c>
      <c r="Z159" s="6">
        <f t="shared" si="12"/>
        <v>0</v>
      </c>
      <c r="AA159" s="35">
        <f>IF($K$159="PVC",'Datablad 1'!C45,IF($K$159="HDPE",'Datablad 1'!C46,IF($K$159="LDPE",'Datablad 1'!C47,IF($K$159="RVS",'Datablad 1'!E52,0))))</f>
        <v>0</v>
      </c>
      <c r="AB159" s="91">
        <f>IF($K$159="PVC",'Datablad 3'!C137,IF($K$159="HDPE",'Datablad 3'!C138,IF($K$159="LDPE",'Datablad 3'!C139,IF($K$159="RVS",'Datablad 3'!C140,0))))</f>
        <v>0</v>
      </c>
      <c r="AC159" s="91">
        <f>IF($K$159="PVC",'Datablad 3'!D137,IF($K$159="HDPE",'Datablad 3'!D138,IF($K$159="LDPE",'Datablad 3'!D139,IF($K$159="RVS",'Datablad 3'!D140,0))))</f>
        <v>0</v>
      </c>
      <c r="AD159" s="108">
        <f>IF($K$159="PVC",'Datablad 3'!E137,IF($K$159="HDPE",'Datablad 3'!E138,IF($K$159="LDPE",'Datablad 3'!E139,IF($K$159="RVS",'Datablad 3'!E140,0))))</f>
        <v>0</v>
      </c>
    </row>
    <row r="160" spans="1:30" ht="12.75">
      <c r="A160" s="48" t="s">
        <v>463</v>
      </c>
      <c r="B160" s="6" t="s">
        <v>537</v>
      </c>
      <c r="C160" s="287">
        <f>(((((((PI()*POWER($S$160/10,2))-(PI()*POWER(($S$160-V160)/10,2)))*($G$160*100))*Y160)/100)*AB160)*$I$160)</f>
        <v>0</v>
      </c>
      <c r="D160" s="287">
        <f>(((((((PI()*POWER($S$160/10,2))-(PI()*POWER(($S$160-W160)/10,2)))*($G$160*100))*Z160)/100)*AC160)*$I$160)</f>
        <v>0</v>
      </c>
      <c r="E160" s="7" t="s">
        <v>427</v>
      </c>
      <c r="G160" s="6">
        <f>Invoerscherm!E584</f>
        <v>0</v>
      </c>
      <c r="H160" s="35" t="str">
        <f>Invoerscherm!F584</f>
        <v>m</v>
      </c>
      <c r="I160" s="6">
        <f>Invoerscherm!G584</f>
        <v>0</v>
      </c>
      <c r="J160" s="35" t="str">
        <f>Invoerscherm!H584</f>
        <v>stuks</v>
      </c>
      <c r="K160" s="135" t="str">
        <f>Invoerscherm!I584</f>
        <v>&lt;&lt; maak keuze &gt;&gt;</v>
      </c>
      <c r="L160" s="11" t="s">
        <v>464</v>
      </c>
      <c r="M160" s="135" t="str">
        <f>Invoerscherm!L584</f>
        <v>&lt;&lt; maak keuze &gt;&gt;</v>
      </c>
      <c r="N160" s="11" t="s">
        <v>465</v>
      </c>
      <c r="S160" s="48">
        <f t="shared" si="11"/>
        <v>0</v>
      </c>
      <c r="T160" s="35" t="s">
        <v>508</v>
      </c>
      <c r="V160" s="6">
        <f>IF($M$160="32 mm",'Datablad 3'!C142,IF($M$160="50 mm",'Datablad 3'!C143,IF($M$160="90 mm",'Datablad 3'!C144,IF($M$160="110 mm",'Datablad 3'!C145,IF($M$160="250 mm",'Datablad 3'!C146,0)))))</f>
        <v>0</v>
      </c>
      <c r="W160" s="6">
        <f>IF($M$160="32 mm",'Datablad 3'!D142,IF($M$160="50 mm",'Datablad 3'!D143,IF($M$160="90 mm",'Datablad 3'!D144,IF($M$160="110 mm",'Datablad 3'!D145,IF($M$160="250 mm",'Datablad 3'!D146,0)))))</f>
        <v>0</v>
      </c>
      <c r="X160" s="35">
        <f>IF($M$160="32 mm",'Datablad 3'!E142,IF($M$160="50 mm",'Datablad 3'!E143,IF($M$160="90 mm",'Datablad 3'!E144,IF($M$160="110 mm",'Datablad 3'!E145,IF($M$160="250 mm",'Datablad 3'!E146,0)))))</f>
        <v>0</v>
      </c>
      <c r="Y160" s="6">
        <f>IF($K$160="PVC",'Datablad 1'!B45,IF($K$160="HDPE",'Datablad 1'!B46,IF($K$160="LDPE",'Datablad 1'!B47,IF($K$160="RVS",'Datablad 1'!D52,0))))</f>
        <v>0</v>
      </c>
      <c r="Z160" s="6">
        <f t="shared" si="12"/>
        <v>0</v>
      </c>
      <c r="AA160" s="35">
        <f>IF($K$160="PVC",'Datablad 1'!C45,IF($K$160="HDPE",'Datablad 1'!C46,IF($K$160="LDPE",'Datablad 1'!C47,IF($K$160="RVS",'Datablad 1'!E52,0))))</f>
        <v>0</v>
      </c>
      <c r="AB160" s="91">
        <f>IF($K$160="PVC",'Datablad 3'!C137,IF($K$160="HDPE",'Datablad 3'!C138,IF($K$160="LDPE",'Datablad 3'!C139,IF($K$160="RVS",'Datablad 3'!C140,0))))</f>
        <v>0</v>
      </c>
      <c r="AC160" s="91">
        <f>IF($K$160="PVC",'Datablad 3'!D137,IF($K$160="HDPE",'Datablad 3'!D138,IF($K$160="LDPE",'Datablad 3'!D139,IF($K$160="RVS",'Datablad 3'!D140,0))))</f>
        <v>0</v>
      </c>
      <c r="AD160" s="108">
        <f>IF($K$160="PVC",'Datablad 3'!E137,IF($K$160="HDPE",'Datablad 3'!E138,IF($K$160="LDPE",'Datablad 3'!E139,IF($K$160="RVS",'Datablad 3'!E140,0))))</f>
        <v>0</v>
      </c>
    </row>
    <row r="161" spans="1:30" ht="12.75">
      <c r="A161" s="48" t="s">
        <v>463</v>
      </c>
      <c r="B161" s="6" t="s">
        <v>538</v>
      </c>
      <c r="C161" s="287">
        <f>(((((((PI()*POWER($S$161/10,2))-(PI()*POWER(($S$161-V161)/10,2)))*($G$161*100))*Y161)/100)*AB161)*$I$161)</f>
        <v>0</v>
      </c>
      <c r="D161" s="287">
        <f>(((((((PI()*POWER($S$161/10,2))-(PI()*POWER(($S$161-W161)/10,2)))*($G$161*100))*Z161)/100)*AC161)*$I$161)</f>
        <v>0</v>
      </c>
      <c r="E161" s="7" t="s">
        <v>427</v>
      </c>
      <c r="G161" s="6">
        <f>Invoerscherm!E586</f>
        <v>0</v>
      </c>
      <c r="H161" s="35" t="str">
        <f>Invoerscherm!F586</f>
        <v>m</v>
      </c>
      <c r="I161" s="6">
        <f>Invoerscherm!G586</f>
        <v>0</v>
      </c>
      <c r="J161" s="35" t="str">
        <f>Invoerscherm!H586</f>
        <v>stuks</v>
      </c>
      <c r="K161" s="135" t="str">
        <f>Invoerscherm!I586</f>
        <v>&lt;&lt; maak keuze &gt;&gt;</v>
      </c>
      <c r="L161" s="11" t="s">
        <v>464</v>
      </c>
      <c r="M161" s="135" t="str">
        <f>Invoerscherm!L586</f>
        <v>&lt;&lt; maak keuze &gt;&gt;</v>
      </c>
      <c r="N161" s="11" t="s">
        <v>465</v>
      </c>
      <c r="S161" s="48">
        <f t="shared" si="11"/>
        <v>0</v>
      </c>
      <c r="T161" s="35" t="s">
        <v>508</v>
      </c>
      <c r="V161" s="6">
        <f>IF($M$161="32 mm",'Datablad 3'!C142,IF($M$161="50 mm",'Datablad 3'!C143,IF($M$161="90 mm",'Datablad 3'!C144,IF($M$161="110 mm",'Datablad 3'!C145,IF($M$161="250 mm",'Datablad 3'!C146,0)))))</f>
        <v>0</v>
      </c>
      <c r="W161" s="6">
        <f>IF($M$161="32 mm",'Datablad 3'!D142,IF($M$161="50 mm",'Datablad 3'!D143,IF($M$161="90 mm",'Datablad 3'!D144,IF($M$161="110 mm",'Datablad 3'!D145,IF($M$161="250 mm",'Datablad 3'!D146,0)))))</f>
        <v>0</v>
      </c>
      <c r="X161" s="35">
        <f>IF($M$161="32 mm",'Datablad 3'!E142,IF($M$161="50 mm",'Datablad 3'!E143,IF($M$161="90 mm",'Datablad 3'!E144,IF($M$161="110 mm",'Datablad 3'!E145,IF($M$161="250 mm",'Datablad 3'!E146,0)))))</f>
        <v>0</v>
      </c>
      <c r="Y161" s="6">
        <f>IF($K$161="PVC",'Datablad 1'!B45,IF($K$161="HDPE",'Datablad 1'!B46,IF($K$161="LDPE",'Datablad 1'!B47,IF($K$161="RVS",'Datablad 1'!D52,0))))</f>
        <v>0</v>
      </c>
      <c r="Z161" s="6">
        <f t="shared" si="12"/>
        <v>0</v>
      </c>
      <c r="AA161" s="35">
        <f>IF($K$161="PVC",'Datablad 1'!C45,IF($K$161="HDPE",'Datablad 1'!C46,IF($K$161="LDPE",'Datablad 1'!C47,IF($K$161="RVS",'Datablad 1'!E52,0))))</f>
        <v>0</v>
      </c>
      <c r="AB161" s="91">
        <f>IF($K$161="PVC",'Datablad 3'!C137,IF($K$161="HDPE",'Datablad 3'!C138,IF($K$161="LDPE",'Datablad 3'!C139,IF($K$161="RVS",'Datablad 3'!C140,0))))</f>
        <v>0</v>
      </c>
      <c r="AC161" s="91">
        <f>IF($K$161="PVC",'Datablad 3'!D137,IF($K$161="HDPE",'Datablad 3'!D138,IF($K$161="LDPE",'Datablad 3'!D139,IF($K$161="RVS",'Datablad 3'!D140,0))))</f>
        <v>0</v>
      </c>
      <c r="AD161" s="108">
        <f>IF($K$161="PVC",'Datablad 3'!E137,IF($K$161="HDPE",'Datablad 3'!E138,IF($K$161="LDPE",'Datablad 3'!E139,IF($K$161="RVS",'Datablad 3'!E140,0))))</f>
        <v>0</v>
      </c>
    </row>
    <row r="162" spans="1:30" ht="12.75">
      <c r="A162" s="48" t="s">
        <v>463</v>
      </c>
      <c r="B162" s="6" t="s">
        <v>539</v>
      </c>
      <c r="C162" s="287">
        <f>(((((((PI()*POWER($S$162/10,2))-(PI()*POWER(($S$162-V162)/10,2)))*($G$162*100))*Y162)/100)*AB162)*$I$162)</f>
        <v>0</v>
      </c>
      <c r="D162" s="287">
        <f>(((((((PI()*POWER($S$162/10,2))-(PI()*POWER(($S$162-W162)/10,2)))*($G$162*100))*Z162)/100)*AC162)*$I$162)</f>
        <v>0</v>
      </c>
      <c r="E162" s="7" t="s">
        <v>427</v>
      </c>
      <c r="G162" s="6">
        <f>Invoerscherm!E588</f>
        <v>0</v>
      </c>
      <c r="H162" s="35" t="str">
        <f>Invoerscherm!F588</f>
        <v>m</v>
      </c>
      <c r="I162" s="6">
        <f>Invoerscherm!G588</f>
        <v>0</v>
      </c>
      <c r="J162" s="35" t="str">
        <f>Invoerscherm!H588</f>
        <v>stuks</v>
      </c>
      <c r="K162" s="135" t="str">
        <f>Invoerscherm!I588</f>
        <v>&lt;&lt; maak keuze &gt;&gt;</v>
      </c>
      <c r="L162" s="11" t="s">
        <v>464</v>
      </c>
      <c r="M162" s="135" t="str">
        <f>Invoerscherm!L588</f>
        <v>&lt;&lt; maak keuze &gt;&gt;</v>
      </c>
      <c r="N162" s="11" t="s">
        <v>465</v>
      </c>
      <c r="S162" s="48">
        <f t="shared" si="11"/>
        <v>0</v>
      </c>
      <c r="T162" s="35" t="s">
        <v>508</v>
      </c>
      <c r="V162" s="6">
        <f>IF($M$162="32 mm",'Datablad 3'!C142,IF($M$162="50 mm",'Datablad 3'!C143,IF($M$162="90 mm",'Datablad 3'!C144,IF($M$162="110 mm",'Datablad 3'!C145,IF($M$162="250 mm",'Datablad 3'!C146,0)))))</f>
        <v>0</v>
      </c>
      <c r="W162" s="6">
        <f>IF($M$162="32 mm",'Datablad 3'!D142,IF($M$162="50 mm",'Datablad 3'!D143,IF($M$162="90 mm",'Datablad 3'!D144,IF($M$162="110 mm",'Datablad 3'!D145,IF($M$162="250 mm",'Datablad 3'!D146,0)))))</f>
        <v>0</v>
      </c>
      <c r="X162" s="35">
        <f>IF($M$162="32 mm",'Datablad 3'!E142,IF($M$162="50 mm",'Datablad 3'!E143,IF($M$162="90 mm",'Datablad 3'!E144,IF($M$162="110 mm",'Datablad 3'!E145,IF($M$162="250 mm",'Datablad 3'!E146,0)))))</f>
        <v>0</v>
      </c>
      <c r="Y162" s="6">
        <f>IF($K$162="PVC",'Datablad 1'!B45,IF($K$162="HDPE",'Datablad 1'!B46,IF($K$162="LDPE",'Datablad 1'!B47,IF($K$162="RVS",'Datablad 1'!D52,0))))</f>
        <v>0</v>
      </c>
      <c r="Z162" s="6">
        <f t="shared" si="12"/>
        <v>0</v>
      </c>
      <c r="AA162" s="35">
        <f>IF($K$162="PVC",'Datablad 1'!C45,IF($K$162="HDPE",'Datablad 1'!C46,IF($K$162="LDPE",'Datablad 1'!C47,IF($K$162="RVS",'Datablad 1'!E52,0))))</f>
        <v>0</v>
      </c>
      <c r="AB162" s="91">
        <f>IF($K$162="PVC",'Datablad 3'!C137,IF($K$162="HDPE",'Datablad 3'!C138,IF($K$162="LDPE",'Datablad 3'!C139,IF($K$162="RVS",'Datablad 3'!C140,0))))</f>
        <v>0</v>
      </c>
      <c r="AC162" s="91">
        <f>IF($K$162="PVC",'Datablad 3'!D137,IF($K$162="HDPE",'Datablad 3'!D138,IF($K$162="LDPE",'Datablad 3'!D139,IF($K$162="RVS",'Datablad 3'!D140,0))))</f>
        <v>0</v>
      </c>
      <c r="AD162" s="108">
        <f>IF($K$162="PVC",'Datablad 3'!E137,IF($K$162="HDPE",'Datablad 3'!E138,IF($K$162="LDPE",'Datablad 3'!E139,IF($K$162="RVS",'Datablad 3'!E140,0))))</f>
        <v>0</v>
      </c>
    </row>
    <row r="163" spans="1:27" ht="12.75">
      <c r="A163" s="2" t="s">
        <v>596</v>
      </c>
      <c r="B163" s="5" t="s">
        <v>336</v>
      </c>
      <c r="C163" s="288"/>
      <c r="D163" s="288"/>
      <c r="E163" s="101"/>
      <c r="G163" s="135" t="str">
        <f>Invoerscherm!C595</f>
        <v>&lt;&lt; maak keuze &gt;&gt;</v>
      </c>
      <c r="H163" s="104" t="s">
        <v>495</v>
      </c>
      <c r="I163" s="135" t="str">
        <f>Invoerscherm!F595</f>
        <v>&lt;&lt; maak keuze &gt;&gt;</v>
      </c>
      <c r="J163" s="104" t="s">
        <v>422</v>
      </c>
      <c r="K163" s="82" t="str">
        <f>Invoerscherm!I595</f>
        <v>&lt;&lt; maak keuze &gt;&gt;</v>
      </c>
      <c r="L163" s="104" t="s">
        <v>339</v>
      </c>
      <c r="V163" s="5">
        <f>IF($K$163="6 kW",'Datablad 3'!C62,IF($K$163="8 kW",'Datablad 3'!C63,IF($K$163="12 kW",'Datablad 3'!C64,IF($K$163="13,1 kW",'Datablad 3'!C65,IF($K$163="48 kW",'Datablad 3'!C66,IF($K$163="80 kW",'Datablad 3'!C67,0))))))</f>
        <v>0</v>
      </c>
      <c r="W163" s="5">
        <f>IF($K$163="6 kW",'Datablad 3'!D62,IF($K$163="8 kW",'Datablad 3'!D63,IF($K$163="12 kW",'Datablad 3'!D64,IF($K$163="13,1 kW",'Datablad 3'!D65,IF($K$163="48 kW",'Datablad 3'!D66,IF($K$163="80 kW",'Datablad 3'!D67,0))))))</f>
        <v>0</v>
      </c>
      <c r="X163" s="107">
        <f>IF($K$163="6 kW",'Datablad 3'!E62,IF($K$163="8 kW",'Datablad 3'!E63,IF($K$163="12 kW",'Datablad 3'!E64,IF($K$163="13,1 kW",'Datablad 3'!E65,IF($K$163="48 kW",'Datablad 3'!E66,IF($K$163="80 kW",'Datablad 3'!E67,0))))))</f>
        <v>0</v>
      </c>
      <c r="Y163" s="100">
        <f>IF($I$163="Diesel",'Datablad 1'!B2+'Datablad 1'!B11,IF($I$163="Biodiesel",'Datablad 1'!B8+'Datablad 1'!B17,0))</f>
        <v>0</v>
      </c>
      <c r="Z163" s="91"/>
      <c r="AA163" s="107" t="s">
        <v>496</v>
      </c>
    </row>
    <row r="164" spans="1:27" ht="12.75">
      <c r="A164" s="48" t="s">
        <v>542</v>
      </c>
      <c r="B164" s="48" t="s">
        <v>597</v>
      </c>
      <c r="C164" s="290">
        <f>$G$164*V164*Y164</f>
        <v>0</v>
      </c>
      <c r="D164" s="290">
        <f>$G$164*W164*Z164</f>
        <v>0</v>
      </c>
      <c r="E164" s="7" t="s">
        <v>427</v>
      </c>
      <c r="G164" s="6">
        <f>Invoerscherm!G599</f>
        <v>0</v>
      </c>
      <c r="H164" s="35" t="str">
        <f>Invoerscherm!H599</f>
        <v>m</v>
      </c>
      <c r="V164" s="146">
        <f>'Datablad 3'!C131</f>
        <v>0.2</v>
      </c>
      <c r="W164" s="146">
        <f>'Datablad 3'!D131</f>
        <v>0.2</v>
      </c>
      <c r="X164" s="149" t="str">
        <f>'Datablad 3'!E128</f>
        <v>L diesel / m</v>
      </c>
      <c r="Y164" s="6">
        <f>'Datablad 1'!B2+'Datablad 1'!B11</f>
        <v>3.1357</v>
      </c>
      <c r="Z164" s="48">
        <f>Y164</f>
        <v>3.1357</v>
      </c>
      <c r="AA164" s="35" t="s">
        <v>22</v>
      </c>
    </row>
    <row r="165" spans="1:27" ht="12.75">
      <c r="A165" s="48" t="s">
        <v>542</v>
      </c>
      <c r="B165" s="48" t="s">
        <v>598</v>
      </c>
      <c r="C165" s="273">
        <f>(($G$165*24)*V165)*Y165</f>
        <v>0</v>
      </c>
      <c r="D165" s="273">
        <f>(($G$165*24)*W165)*Z165</f>
        <v>0</v>
      </c>
      <c r="E165" s="7" t="s">
        <v>427</v>
      </c>
      <c r="G165" s="6">
        <f>Invoerscherm!G601</f>
        <v>0</v>
      </c>
      <c r="H165" s="35" t="str">
        <f>Invoerscherm!H601</f>
        <v>dagen</v>
      </c>
      <c r="I165" s="135" t="str">
        <f>Invoerscherm!I601</f>
        <v>&lt;&lt; maak keuze &gt;&gt;</v>
      </c>
      <c r="J165" s="11" t="s">
        <v>442</v>
      </c>
      <c r="V165" s="6">
        <f>'Datablad 3'!C161</f>
        <v>1</v>
      </c>
      <c r="W165" s="6">
        <f>'Datablad 3'!D161</f>
        <v>3</v>
      </c>
      <c r="X165" s="35" t="str">
        <f>'Datablad 3'!E161</f>
        <v>kWh</v>
      </c>
      <c r="Y165" s="6">
        <f>IF($I$165="Grijze stroom",'Datablad 1'!B29,IF($I$165="Groene stroom",'Datablad 1'!B30,IF($I$165="Directe windenergie",'Datablad 1'!B31,IF($I$165="Directe zone-energie",'Datablad 1'!B32,IF($I$165="Directe waterkracht",'Datablad 1'!B33,IF($I$165="Directe biomassa",'Datablad 1'!B34,IF($I$165="Dieselaggregraat",$Y$163,0)))))))</f>
        <v>0</v>
      </c>
      <c r="Z165" s="48">
        <f>Y165</f>
        <v>0</v>
      </c>
      <c r="AA165" s="35">
        <f>IF(OR($K$53="Grijze stroom",$K$53="Groene stroom",$K$53="Directe windenergie",$K$53="Directe zonne-energie",$K$53="Directe waterkreacht",$K$53="Directe biomassa"),"kg CO2 / kWh",IF($K$53="Dieselaggregraat","kg CO2 / L brandstof",0))</f>
        <v>0</v>
      </c>
    </row>
    <row r="166" spans="1:24" ht="12.75">
      <c r="A166" s="48" t="s">
        <v>558</v>
      </c>
      <c r="B166" s="48" t="s">
        <v>79</v>
      </c>
      <c r="C166" s="273">
        <f>$G$166*V166</f>
        <v>0</v>
      </c>
      <c r="D166" s="273">
        <f>$G$166*W166</f>
        <v>0</v>
      </c>
      <c r="E166" s="7" t="s">
        <v>427</v>
      </c>
      <c r="G166" s="6">
        <f>Invoerscherm!G605/2</f>
        <v>0</v>
      </c>
      <c r="H166" s="35" t="str">
        <f>Invoerscherm!H605</f>
        <v>kg</v>
      </c>
      <c r="V166" s="6">
        <f>'Datablad 3'!C157</f>
        <v>1.023652</v>
      </c>
      <c r="W166" s="6">
        <f>'Datablad 3'!D157</f>
        <v>1.023652</v>
      </c>
      <c r="X166" s="35" t="str">
        <f>'Datablad 3'!E157</f>
        <v>kg CO2 / kg waterstof peroxide</v>
      </c>
    </row>
    <row r="167" spans="1:27" ht="12.75">
      <c r="A167" s="48" t="s">
        <v>558</v>
      </c>
      <c r="B167" s="48" t="s">
        <v>91</v>
      </c>
      <c r="C167" s="273">
        <f>$G$167*V167</f>
        <v>0</v>
      </c>
      <c r="D167" s="273">
        <f>$G$167*W167</f>
        <v>0</v>
      </c>
      <c r="E167" s="7" t="s">
        <v>427</v>
      </c>
      <c r="G167" s="6">
        <f>Invoerscherm!G607</f>
        <v>0</v>
      </c>
      <c r="H167" s="35" t="str">
        <f>Invoerscherm!H607</f>
        <v>kg</v>
      </c>
      <c r="V167" s="6">
        <f>'Datablad 3'!C158</f>
        <v>1.023652</v>
      </c>
      <c r="W167" s="6">
        <f>'Datablad 3'!D158</f>
        <v>1.023652</v>
      </c>
      <c r="X167" s="6" t="str">
        <f>'Datablad 3'!E158</f>
        <v>kg CO2 / kg permanganaat</v>
      </c>
      <c r="Y167" s="85"/>
      <c r="Z167" s="85"/>
      <c r="AA167" s="95"/>
    </row>
    <row r="168" spans="1:27" ht="12.75">
      <c r="A168" s="48" t="s">
        <v>558</v>
      </c>
      <c r="B168" s="48" t="s">
        <v>87</v>
      </c>
      <c r="C168" s="273">
        <f>$G$168*V168</f>
        <v>0</v>
      </c>
      <c r="D168" s="273">
        <f>$G$168*W168</f>
        <v>0</v>
      </c>
      <c r="E168" s="7" t="s">
        <v>427</v>
      </c>
      <c r="G168" s="6">
        <f>Invoerscherm!G609</f>
        <v>0</v>
      </c>
      <c r="H168" s="35" t="str">
        <f>Invoerscherm!H609</f>
        <v>kg</v>
      </c>
      <c r="V168" s="6">
        <f>'Datablad 3'!C159</f>
        <v>0.8189216</v>
      </c>
      <c r="W168" s="6">
        <f>'Datablad 3'!D159</f>
        <v>0.8189216</v>
      </c>
      <c r="X168" s="6" t="str">
        <f>'Datablad 3'!E159</f>
        <v>kg CO2 / kg persulfaat</v>
      </c>
      <c r="Y168" s="85"/>
      <c r="Z168" s="85"/>
      <c r="AA168" s="95"/>
    </row>
    <row r="169" spans="1:24" ht="12.75">
      <c r="A169" s="48" t="s">
        <v>546</v>
      </c>
      <c r="B169" s="48" t="s">
        <v>79</v>
      </c>
      <c r="C169" s="273">
        <f>$G$169*V169</f>
        <v>0</v>
      </c>
      <c r="D169" s="273">
        <f>$G$169*W169</f>
        <v>0</v>
      </c>
      <c r="E169" s="7" t="s">
        <v>427</v>
      </c>
      <c r="G169" s="6">
        <f aca="true" t="shared" si="13" ref="G169:H171">G166</f>
        <v>0</v>
      </c>
      <c r="H169" s="35" t="str">
        <f t="shared" si="13"/>
        <v>kg</v>
      </c>
      <c r="V169" s="6">
        <f>'Datablad 2'!C6</f>
        <v>0.26</v>
      </c>
      <c r="W169" s="6">
        <f>V169</f>
        <v>0.26</v>
      </c>
      <c r="X169" s="35" t="str">
        <f>'Datablad 2'!D6</f>
        <v>kg CO2 / kg H2O2</v>
      </c>
    </row>
    <row r="170" spans="1:24" ht="12.75">
      <c r="A170" s="48" t="s">
        <v>546</v>
      </c>
      <c r="B170" s="48" t="s">
        <v>91</v>
      </c>
      <c r="C170" s="273">
        <f>$G$170*V170</f>
        <v>0</v>
      </c>
      <c r="D170" s="273">
        <f>$G$170*W170</f>
        <v>0</v>
      </c>
      <c r="E170" s="7" t="s">
        <v>427</v>
      </c>
      <c r="G170" s="6">
        <f t="shared" si="13"/>
        <v>0</v>
      </c>
      <c r="H170" s="35" t="str">
        <f t="shared" si="13"/>
        <v>kg</v>
      </c>
      <c r="V170" s="6">
        <f>'Datablad 2'!C9</f>
        <v>0.045</v>
      </c>
      <c r="W170" s="6">
        <f>V170</f>
        <v>0.045</v>
      </c>
      <c r="X170" s="35" t="str">
        <f>'Datablad 2'!D9</f>
        <v>kg CO2 / kg KMnO4</v>
      </c>
    </row>
    <row r="171" spans="1:24" ht="12.75">
      <c r="A171" s="48" t="s">
        <v>546</v>
      </c>
      <c r="B171" s="48" t="s">
        <v>87</v>
      </c>
      <c r="C171" s="320">
        <f>$G$171*V171</f>
        <v>0</v>
      </c>
      <c r="D171" s="320">
        <f>$G$171*W171</f>
        <v>0</v>
      </c>
      <c r="E171" s="7" t="s">
        <v>427</v>
      </c>
      <c r="G171" s="6">
        <f t="shared" si="13"/>
        <v>0</v>
      </c>
      <c r="H171" s="35" t="str">
        <f t="shared" si="13"/>
        <v>kg</v>
      </c>
      <c r="V171" s="6">
        <f>'Datablad 2'!C8</f>
        <v>0.015</v>
      </c>
      <c r="W171" s="6">
        <f>V171</f>
        <v>0.015</v>
      </c>
      <c r="X171" s="35" t="str">
        <f>'Datablad 2'!D8</f>
        <v>kg CO2 / kg Na2S2O8</v>
      </c>
    </row>
    <row r="172" spans="1:24" ht="12.75">
      <c r="A172" s="48" t="s">
        <v>444</v>
      </c>
      <c r="B172" s="48" t="s">
        <v>428</v>
      </c>
      <c r="C172" s="273">
        <f>$G$172*$I$172*$K$172*V172*1.5</f>
        <v>0</v>
      </c>
      <c r="D172" s="273">
        <f>$G$172*$I$172*$K$172*W172*1.5</f>
        <v>0</v>
      </c>
      <c r="E172" s="7" t="s">
        <v>427</v>
      </c>
      <c r="G172" s="6">
        <f>Invoerscherm!C616</f>
        <v>0</v>
      </c>
      <c r="H172" s="35" t="str">
        <f>Invoerscherm!D616</f>
        <v>km</v>
      </c>
      <c r="I172" s="6">
        <f>Invoerscherm!C620</f>
        <v>0</v>
      </c>
      <c r="J172" s="35" t="str">
        <f>Invoerscherm!D620</f>
        <v>aantal keer rijden</v>
      </c>
      <c r="K172" s="44">
        <f>Invoerscherm!C624</f>
        <v>0</v>
      </c>
      <c r="L172" s="106" t="str">
        <f>Invoerscherm!D624</f>
        <v>L brandstof / km</v>
      </c>
      <c r="M172" s="114" t="str">
        <f>Invoerscherm!C628</f>
        <v>&lt;&lt; maak keuze &gt;&gt;</v>
      </c>
      <c r="N172" s="11" t="s">
        <v>422</v>
      </c>
      <c r="V172" s="44">
        <f>IF($M$172="Diesel",'Datablad 1'!B2+'Datablad 1'!B11,IF($M$172="Benzine",'Datablad 1'!B3+'Datablad 1'!B12,IF($M$172="LPG",'Datablad 1'!B4+'Datablad 1'!B13,IF($M$172="Biodiesel",'Datablad 1'!B8+'Datablad 1'!B17,0))))</f>
        <v>0</v>
      </c>
      <c r="W172" s="6">
        <f>V172</f>
        <v>0</v>
      </c>
      <c r="X172" s="35" t="s">
        <v>496</v>
      </c>
    </row>
    <row r="173" ht="12.75"/>
    <row r="174" spans="1:4" ht="12.75">
      <c r="A174" s="120" t="s">
        <v>463</v>
      </c>
      <c r="B174" s="121"/>
      <c r="C174" s="274">
        <f>SUM(C155:C162)</f>
        <v>0</v>
      </c>
      <c r="D174" s="274">
        <f>SUM(D155:D162)</f>
        <v>0</v>
      </c>
    </row>
    <row r="175" spans="1:4" ht="12.75">
      <c r="A175" s="120" t="s">
        <v>542</v>
      </c>
      <c r="B175" s="121"/>
      <c r="C175" s="274">
        <f>SUM(C164:C165)</f>
        <v>0</v>
      </c>
      <c r="D175" s="274">
        <f>SUM(D164:D165)</f>
        <v>0</v>
      </c>
    </row>
    <row r="176" spans="1:4" ht="12.75">
      <c r="A176" s="120" t="s">
        <v>558</v>
      </c>
      <c r="B176" s="121"/>
      <c r="C176" s="274">
        <f>SUM(C166:C168)</f>
        <v>0</v>
      </c>
      <c r="D176" s="274">
        <f>SUM(D166:D168)</f>
        <v>0</v>
      </c>
    </row>
    <row r="177" spans="1:4" ht="12.75">
      <c r="A177" s="122" t="s">
        <v>546</v>
      </c>
      <c r="B177" s="123"/>
      <c r="C177" s="274">
        <f>SUM(C169:C171)</f>
        <v>0</v>
      </c>
      <c r="D177" s="274">
        <f>SUM(D169:D171)</f>
        <v>0</v>
      </c>
    </row>
    <row r="178" spans="1:4" ht="12.75">
      <c r="A178" s="122" t="s">
        <v>444</v>
      </c>
      <c r="C178" s="274">
        <f>C172</f>
        <v>0</v>
      </c>
      <c r="D178" s="274">
        <f>D172</f>
        <v>0</v>
      </c>
    </row>
    <row r="179" spans="3:39" s="42" customFormat="1" ht="12.75">
      <c r="C179" s="280"/>
      <c r="D179" s="280"/>
      <c r="H179" s="281"/>
      <c r="J179" s="281"/>
      <c r="L179" s="281"/>
      <c r="N179" s="281"/>
      <c r="P179" s="281"/>
      <c r="Q179" s="282"/>
      <c r="R179" s="281"/>
      <c r="S179" s="282"/>
      <c r="T179" s="281"/>
      <c r="X179" s="281"/>
      <c r="AA179" s="281"/>
      <c r="AD179" s="281"/>
      <c r="AG179" s="281"/>
      <c r="AJ179" s="281"/>
      <c r="AM179" s="281"/>
    </row>
    <row r="180" spans="1:39" ht="15.75">
      <c r="A180" s="87" t="s">
        <v>599</v>
      </c>
      <c r="G180" s="13" t="s">
        <v>227</v>
      </c>
      <c r="H180" s="9"/>
      <c r="I180" s="3"/>
      <c r="J180" s="9"/>
      <c r="K180" s="3"/>
      <c r="L180" s="9"/>
      <c r="M180" s="3"/>
      <c r="N180" s="9"/>
      <c r="O180" s="3"/>
      <c r="P180" s="9"/>
      <c r="Q180" s="9"/>
      <c r="R180" s="9"/>
      <c r="S180" s="9"/>
      <c r="T180" s="9"/>
      <c r="U180" s="34"/>
      <c r="V180" s="1" t="s">
        <v>228</v>
      </c>
      <c r="W180" s="1"/>
      <c r="X180" s="9"/>
      <c r="Y180" s="3"/>
      <c r="Z180" s="3"/>
      <c r="AA180" s="9"/>
      <c r="AB180" s="3"/>
      <c r="AC180" s="3"/>
      <c r="AD180" s="9"/>
      <c r="AE180" s="3"/>
      <c r="AF180" s="3"/>
      <c r="AG180" s="9"/>
      <c r="AH180" s="3"/>
      <c r="AI180" s="3"/>
      <c r="AJ180" s="9"/>
      <c r="AK180" s="3"/>
      <c r="AL180" s="3"/>
      <c r="AM180" s="9"/>
    </row>
    <row r="181" spans="7:38" ht="12.75">
      <c r="G181"/>
      <c r="I181"/>
      <c r="K181"/>
      <c r="M181"/>
      <c r="O181"/>
      <c r="Q181" s="35"/>
      <c r="S181" s="35"/>
      <c r="U181" s="36"/>
      <c r="V181"/>
      <c r="W181"/>
      <c r="Y181"/>
      <c r="Z181"/>
      <c r="AB181"/>
      <c r="AC181"/>
      <c r="AE181"/>
      <c r="AF181"/>
      <c r="AH181"/>
      <c r="AI181"/>
      <c r="AK181"/>
      <c r="AL181"/>
    </row>
    <row r="182" spans="1:39" ht="12.75">
      <c r="A182" s="14" t="s">
        <v>229</v>
      </c>
      <c r="B182" s="14" t="s">
        <v>230</v>
      </c>
      <c r="C182" s="272" t="s">
        <v>231</v>
      </c>
      <c r="D182" s="272" t="s">
        <v>232</v>
      </c>
      <c r="E182" s="37" t="s">
        <v>233</v>
      </c>
      <c r="G182" s="14" t="s">
        <v>234</v>
      </c>
      <c r="H182" s="37" t="s">
        <v>233</v>
      </c>
      <c r="I182" s="14" t="s">
        <v>235</v>
      </c>
      <c r="J182" s="37" t="s">
        <v>233</v>
      </c>
      <c r="K182" s="14" t="s">
        <v>236</v>
      </c>
      <c r="L182" s="37" t="s">
        <v>233</v>
      </c>
      <c r="M182" s="14" t="s">
        <v>237</v>
      </c>
      <c r="N182" s="37" t="s">
        <v>233</v>
      </c>
      <c r="O182" s="14" t="s">
        <v>238</v>
      </c>
      <c r="P182" s="37" t="s">
        <v>233</v>
      </c>
      <c r="Q182" s="14" t="s">
        <v>421</v>
      </c>
      <c r="R182" s="37" t="s">
        <v>233</v>
      </c>
      <c r="S182" s="14" t="s">
        <v>507</v>
      </c>
      <c r="T182" s="37" t="s">
        <v>233</v>
      </c>
      <c r="U182" s="38"/>
      <c r="V182" s="14" t="s">
        <v>239</v>
      </c>
      <c r="W182" s="14" t="s">
        <v>240</v>
      </c>
      <c r="X182" s="37" t="s">
        <v>233</v>
      </c>
      <c r="Y182" s="14" t="s">
        <v>241</v>
      </c>
      <c r="Z182" s="14" t="s">
        <v>242</v>
      </c>
      <c r="AA182" s="37" t="s">
        <v>233</v>
      </c>
      <c r="AB182" s="14" t="s">
        <v>243</v>
      </c>
      <c r="AC182" s="14" t="s">
        <v>244</v>
      </c>
      <c r="AD182" s="37" t="s">
        <v>233</v>
      </c>
      <c r="AE182" s="14" t="s">
        <v>245</v>
      </c>
      <c r="AF182" s="14" t="s">
        <v>246</v>
      </c>
      <c r="AG182" s="37" t="s">
        <v>233</v>
      </c>
      <c r="AH182" s="14" t="s">
        <v>247</v>
      </c>
      <c r="AI182" s="14" t="s">
        <v>248</v>
      </c>
      <c r="AJ182" s="37" t="s">
        <v>233</v>
      </c>
      <c r="AK182" s="14" t="s">
        <v>249</v>
      </c>
      <c r="AL182" s="14" t="s">
        <v>250</v>
      </c>
      <c r="AM182" s="37" t="s">
        <v>233</v>
      </c>
    </row>
    <row r="183" spans="1:36" ht="12.75">
      <c r="A183" s="48" t="s">
        <v>463</v>
      </c>
      <c r="B183" s="6" t="s">
        <v>532</v>
      </c>
      <c r="C183" s="287">
        <f>(((((((PI()*POWER($S$183/10,2))-(PI()*POWER(($S$183-V183)/10,2)))*($G$183*100))*Y183)/100)*AB183)*$I$183)+(IF($Q$183="Gestandaardiseerde berekening",$G$183*$I$183*'Datablad 3'!C131*AH183,$G$183*$I$183*AE183*AH183))</f>
        <v>0</v>
      </c>
      <c r="D183" s="287">
        <f>(((((((PI()*POWER($S$183/10,2))-(PI()*POWER(($S$183-W183)/10,2)))*($G$183*100))*Z183)/100)*AC183)*$I$183)+(IF($Q$183="Gestandaardiseerde berekening",$G$183*$I$183*'Datablad 3'!D131*AI183,$G$183*$I$183*AF183*AI183))</f>
        <v>0</v>
      </c>
      <c r="E183" s="7" t="s">
        <v>427</v>
      </c>
      <c r="G183" s="6">
        <f>Invoerscherm!E642</f>
        <v>0</v>
      </c>
      <c r="H183" s="35" t="str">
        <f>Invoerscherm!F642</f>
        <v>m</v>
      </c>
      <c r="I183" s="6">
        <f>Invoerscherm!G642</f>
        <v>0</v>
      </c>
      <c r="J183" s="35" t="str">
        <f>Invoerscherm!H642</f>
        <v>stuks</v>
      </c>
      <c r="K183" s="135" t="str">
        <f>Invoerscherm!I642</f>
        <v>&lt;&lt; maak keuze &gt;&gt;</v>
      </c>
      <c r="L183" s="11" t="s">
        <v>464</v>
      </c>
      <c r="M183" s="135" t="str">
        <f>Invoerscherm!L642</f>
        <v>&lt;&lt; maak keuze &gt;&gt;</v>
      </c>
      <c r="N183" s="11" t="s">
        <v>465</v>
      </c>
      <c r="O183" s="135" t="str">
        <f>Invoerscherm!O642</f>
        <v>&lt;&lt; maak keuze &gt;&gt;</v>
      </c>
      <c r="P183" s="11" t="s">
        <v>477</v>
      </c>
      <c r="Q183" s="136" t="str">
        <f>Invoerscherm!C638</f>
        <v>&lt;&lt; maak keuze &gt;&gt;</v>
      </c>
      <c r="R183" s="11" t="s">
        <v>505</v>
      </c>
      <c r="S183" s="48">
        <f aca="true" t="shared" si="14" ref="S183:S190">IF(M183="32 mm",32/2,IF(M183="50 mm",50/2,IF(M183="90 mm",90/2,IF(M183="110 mm",110/2,IF(M183="250 mm",250/2,0)))))</f>
        <v>0</v>
      </c>
      <c r="T183" s="35" t="s">
        <v>508</v>
      </c>
      <c r="V183" s="6">
        <f>IF($M$183="32 mm",'Datablad 3'!C142,IF($M$183="50 mm",'Datablad 3'!C143,IF($M$183="90 mm",'Datablad 3'!C144,IF($M$183="110 mm",'Datablad 3'!C145,IF($M$183="250 mm",'Datablad 3'!C146,0)))))</f>
        <v>0</v>
      </c>
      <c r="W183" s="6">
        <f>IF($M$183="32 mm",'Datablad 3'!D142,IF($M$183="50 mm",'Datablad 3'!D143,IF($M$183="90 mm",'Datablad 3'!D144,IF($M$183="110 mm",'Datablad 3'!D145,IF($M$183="250 mm",'Datablad 3'!D146,0)))))</f>
        <v>0</v>
      </c>
      <c r="X183" s="35">
        <f>IF($M$183="32 mm",'Datablad 3'!E142,IF($M$183="50 mm",'Datablad 3'!E143,IF($M$183="90 mm",'Datablad 3'!E144,IF($M$183="110 mm",'Datablad 3'!E145,IF($M$183="250 mm",'Datablad 3'!E146,0)))))</f>
        <v>0</v>
      </c>
      <c r="Y183" s="6">
        <f>IF($K$183="PVC",'Datablad 1'!B45,IF($K$183="HDPE",'Datablad 1'!B46,IF($K$183="LDPE",'Datablad 1'!B47,IF($K$183="RVS",'Datablad 1'!D52,0))))</f>
        <v>0</v>
      </c>
      <c r="Z183" s="6">
        <f aca="true" t="shared" si="15" ref="Z183:Z190">Y183</f>
        <v>0</v>
      </c>
      <c r="AA183" s="35">
        <f>IF($K$183="PVC",'Datablad 1'!C45,IF($K$183="HDPE",'Datablad 1'!C46,IF($K$183="LDPE",'Datablad 1'!C47,IF($K$183="RVS",'Datablad 1'!E52,0))))</f>
        <v>0</v>
      </c>
      <c r="AB183" s="91">
        <f>IF($K$183="PVC",'Datablad 3'!C137,IF($K$183="HDPE",'Datablad 3'!C138,IF($K$183="LDPE",'Datablad 3'!C139,IF($K$183="RVS",'Datablad 3'!C140,0))))</f>
        <v>0</v>
      </c>
      <c r="AC183" s="91">
        <f>IF($K$183="PVC",'Datablad 3'!D137,IF($K$183="HDPE",'Datablad 3'!D138,IF($K$183="LDPE",'Datablad 3'!D139,IF($K$183="RVS",'Datablad 3'!D140,0))))</f>
        <v>0</v>
      </c>
      <c r="AD183" s="108">
        <f>IF($K$183="PVC",'Datablad 3'!E137,IF($K$183="HDPE",'Datablad 3'!E138,IF($K$183="LDPE",'Datablad 3'!E139,IF($K$183="RVS",'Datablad 3'!E140,0))))</f>
        <v>0</v>
      </c>
      <c r="AE183" s="93">
        <f>IF($O$183="Avegaarboren",'Datablad 3'!C127,IF($O$183="Geoprobe",'Datablad 3'!C128,IF($O$183="Pulsen",'Datablad 3'!C129,IF($O$183="Sonic drilling",'Datablad 3'!C130,0))))</f>
        <v>0</v>
      </c>
      <c r="AF183" s="93">
        <f>IF($O$183="Avegaarboren",'Datablad 3'!D127,IF($O$183="Geoprobe",'Datablad 3'!D128,IF($O$183="Pulsen",'Datablad 3'!D129,IF($O$183="Sonic drilling",'Datablad 3'!D130,0))))</f>
        <v>0</v>
      </c>
      <c r="AG183" s="95">
        <f>IF($O$183="Avegaarboren",'Datablad 3'!E127,IF($O$183="Geoprobe",'Datablad 3'!E128,IF($O$183="Pulsen",'Datablad 3'!E129,IF($O$183="Sonic drilling",'Datablad 3'!E130,0))))</f>
        <v>0</v>
      </c>
      <c r="AH183" s="91">
        <f>'Datablad 1'!B2+'Datablad 1'!B11</f>
        <v>3.1357</v>
      </c>
      <c r="AI183" s="91">
        <f>AH183</f>
        <v>3.1357</v>
      </c>
      <c r="AJ183" s="11" t="s">
        <v>22</v>
      </c>
    </row>
    <row r="184" spans="1:36" ht="12.75">
      <c r="A184" s="48" t="s">
        <v>463</v>
      </c>
      <c r="B184" s="6" t="s">
        <v>533</v>
      </c>
      <c r="C184" s="287">
        <f>(((((((PI()*POWER($S$184/10,2))-(PI()*POWER(($S$184-V184)/10,2)))*($G$184*100))*Y184)/100)*AB184)*$I$184)+(IF($Q$184="Gestandaardiseerde berekening",$G$184*$I$184*'Datablad 3'!C131*AH184,$G$184*$I$184*AE184*AH184))</f>
        <v>0</v>
      </c>
      <c r="D184" s="287">
        <f>(((((((PI()*POWER($S$184/10,2))-(PI()*POWER(($S$184-W184)/10,2)))*($G$184*100))*Z184)/100)*AC184)*$I$184)+(IF($Q$184="Gestandaardiseerde berekening",$G$184*$I$184*'Datablad 3'!D131*AI184,$G$184*$I$184*AF184*AI184))</f>
        <v>0</v>
      </c>
      <c r="E184" s="7" t="s">
        <v>427</v>
      </c>
      <c r="G184" s="6">
        <f>Invoerscherm!E644</f>
        <v>0</v>
      </c>
      <c r="H184" s="35" t="str">
        <f>Invoerscherm!F644</f>
        <v>m</v>
      </c>
      <c r="I184" s="6">
        <f>Invoerscherm!G644</f>
        <v>0</v>
      </c>
      <c r="J184" s="35" t="str">
        <f>Invoerscherm!H644</f>
        <v>stuks</v>
      </c>
      <c r="K184" s="135" t="str">
        <f>Invoerscherm!I644</f>
        <v>&lt;&lt; maak keuze &gt;&gt;</v>
      </c>
      <c r="L184" s="11" t="s">
        <v>464</v>
      </c>
      <c r="M184" s="135" t="str">
        <f>Invoerscherm!L644</f>
        <v>&lt;&lt; maak keuze &gt;&gt;</v>
      </c>
      <c r="N184" s="11" t="s">
        <v>465</v>
      </c>
      <c r="O184" s="135" t="str">
        <f>Invoerscherm!O644</f>
        <v>&lt;&lt; maak keuze &gt;&gt;</v>
      </c>
      <c r="P184" s="11" t="s">
        <v>477</v>
      </c>
      <c r="Q184" s="136" t="str">
        <f>Invoerscherm!C638</f>
        <v>&lt;&lt; maak keuze &gt;&gt;</v>
      </c>
      <c r="R184" s="11" t="s">
        <v>505</v>
      </c>
      <c r="S184" s="48">
        <f t="shared" si="14"/>
        <v>0</v>
      </c>
      <c r="T184" s="35" t="s">
        <v>508</v>
      </c>
      <c r="V184" s="6">
        <f>IF($M$184="32 mm",'Datablad 3'!C142,IF($M$184="50 mm",'Datablad 3'!C143,IF($M$184="90 mm",'Datablad 3'!C144,IF($M$184="110 mm",'Datablad 3'!C145,IF($M$184="250 mm",'Datablad 3'!C146,0)))))</f>
        <v>0</v>
      </c>
      <c r="W184" s="6">
        <f>IF($M$184="32 mm",'Datablad 3'!D142,IF($M$184="50 mm",'Datablad 3'!D143,IF($M$184="90 mm",'Datablad 3'!D144,IF($M$184="110 mm",'Datablad 3'!D145,IF($M$184="250 mm",'Datablad 3'!D146,0)))))</f>
        <v>0</v>
      </c>
      <c r="X184" s="35">
        <f>IF($M$184="32 mm",'Datablad 3'!E142,IF($M$184="50 mm",'Datablad 3'!E143,IF($M$184="90 mm",'Datablad 3'!E144,IF($M$184="110 mm",'Datablad 3'!E145,IF($M$184="250 mm",'Datablad 3'!E146,0)))))</f>
        <v>0</v>
      </c>
      <c r="Y184" s="6">
        <f>IF($K$184="PVC",'Datablad 1'!B45,IF($K$184="HDPE",'Datablad 1'!B46,IF($K$184="LDPE",'Datablad 1'!B47,IF($K$184="RVS",'Datablad 1'!D52,0))))</f>
        <v>0</v>
      </c>
      <c r="Z184" s="6">
        <f t="shared" si="15"/>
        <v>0</v>
      </c>
      <c r="AA184" s="35">
        <f>IF($K$184="PVC",'Datablad 1'!C45,IF($K$184="HDPE",'Datablad 1'!C46,IF($K$184="LDPE",'Datablad 1'!C47,IF($K$184="RVS",'Datablad 1'!E52,0))))</f>
        <v>0</v>
      </c>
      <c r="AB184" s="91">
        <f>IF($K$184="PVC",'Datablad 3'!C137,IF($K$184="HDPE",'Datablad 3'!C138,IF($K$184="LDPE",'Datablad 3'!C139,IF($K$184="RVS",'Datablad 3'!C140,0))))</f>
        <v>0</v>
      </c>
      <c r="AC184" s="91">
        <f>IF($K$184="PVC",'Datablad 3'!D137,IF($K$184="HDPE",'Datablad 3'!D138,IF($K$184="LDPE",'Datablad 3'!D139,IF($K$184="RVS",'Datablad 3'!D140,0))))</f>
        <v>0</v>
      </c>
      <c r="AD184" s="108">
        <f>IF($K$184="PVC",'Datablad 3'!E137,IF($K$184="HDPE",'Datablad 3'!E138,IF($K$184="LDPE",'Datablad 3'!E139,IF($K$184="RVS",'Datablad 3'!E140,0))))</f>
        <v>0</v>
      </c>
      <c r="AE184" s="93">
        <f>IF($O$184="Avegaarboren",'Datablad 3'!C127,IF($O$184="Geoprobe",'Datablad 3'!C128,IF($O$184="Pulsen",'Datablad 3'!C129,IF($O$184="Sonic drilling",'Datablad 3'!C130,0))))</f>
        <v>0</v>
      </c>
      <c r="AF184" s="93">
        <f>IF($O$184="Avegaarboren",'Datablad 3'!D127,IF($O$184="Geoprobe",'Datablad 3'!D128,IF($O$184="Pulsen",'Datablad 3'!D129,IF($O$184="Sonic drilling",'Datablad 3'!D130,0))))</f>
        <v>0</v>
      </c>
      <c r="AG184" s="95">
        <f>IF($O$184="Avegaarboren",'Datablad 3'!E127,IF($O$184="Geoprobe",'Datablad 3'!E128,IF($O$184="Pulsen",'Datablad 3'!E129,IF($O$184="Sonic drilling",'Datablad 3'!E130,0))))</f>
        <v>0</v>
      </c>
      <c r="AH184" s="91">
        <f>'Datablad 1'!B2+'Datablad 1'!B11</f>
        <v>3.1357</v>
      </c>
      <c r="AI184" s="91">
        <f>AH184</f>
        <v>3.1357</v>
      </c>
      <c r="AJ184" s="11" t="s">
        <v>22</v>
      </c>
    </row>
    <row r="185" spans="1:36" ht="12.75">
      <c r="A185" s="48" t="s">
        <v>463</v>
      </c>
      <c r="B185" s="6" t="s">
        <v>534</v>
      </c>
      <c r="C185" s="287">
        <f>(((((((PI()*POWER($S$185/10,2))-(PI()*POWER(($S$185-V185)/10,2)))*($G$185*100))*Y185)/100)*AB185)*$I$185)+(IF($Q$185="Gestandaardiseerde berekening",$G$185*$I$185*'Datablad 3'!C131*AH185,$G$185*$I$185*AE185*AH185))</f>
        <v>0</v>
      </c>
      <c r="D185" s="287">
        <f>(((((((PI()*POWER($S$185/10,2))-(PI()*POWER(($S$185-W185)/10,2)))*($G$185*100))*Z185)/100)*AC185)*$I$185)+(IF($Q$185="Gestandaardiseerde berekening",$G$185*$I$185*'Datablad 3'!D131*AI185,$G$185*$I$185*AF185*AI185))</f>
        <v>0</v>
      </c>
      <c r="E185" s="7" t="s">
        <v>427</v>
      </c>
      <c r="G185" s="6">
        <f>Invoerscherm!E646</f>
        <v>0</v>
      </c>
      <c r="H185" s="35" t="str">
        <f>Invoerscherm!F646</f>
        <v>m</v>
      </c>
      <c r="I185" s="6">
        <f>Invoerscherm!G646</f>
        <v>0</v>
      </c>
      <c r="J185" s="35" t="str">
        <f>Invoerscherm!H646</f>
        <v>stuks</v>
      </c>
      <c r="K185" s="135" t="str">
        <f>Invoerscherm!I646</f>
        <v>&lt;&lt; maak keuze &gt;&gt;</v>
      </c>
      <c r="L185" s="11" t="s">
        <v>464</v>
      </c>
      <c r="M185" s="135" t="str">
        <f>Invoerscherm!L646</f>
        <v>&lt;&lt; maak keuze &gt;&gt;</v>
      </c>
      <c r="N185" s="11" t="s">
        <v>465</v>
      </c>
      <c r="O185" s="135" t="str">
        <f>Invoerscherm!O646</f>
        <v>&lt;&lt; maak keuze &gt;&gt;</v>
      </c>
      <c r="P185" s="11" t="s">
        <v>477</v>
      </c>
      <c r="Q185" s="136" t="str">
        <f>Invoerscherm!C638</f>
        <v>&lt;&lt; maak keuze &gt;&gt;</v>
      </c>
      <c r="R185" s="11" t="s">
        <v>505</v>
      </c>
      <c r="S185" s="48">
        <f t="shared" si="14"/>
        <v>0</v>
      </c>
      <c r="T185" s="35" t="s">
        <v>508</v>
      </c>
      <c r="V185" s="6">
        <f>IF($M$185="32 mm",'Datablad 3'!C142,IF($M$185="50 mm",'Datablad 3'!C143,IF($M$185="90 mm",'Datablad 3'!C144,IF($M$185="110 mm",'Datablad 3'!C145,IF($M$185="250 mm",'Datablad 3'!C146,0)))))</f>
        <v>0</v>
      </c>
      <c r="W185" s="6">
        <f>IF($M$185="32 mm",'Datablad 3'!D142,IF($M$185="50 mm",'Datablad 3'!D143,IF($M$185="90 mm",'Datablad 3'!D144,IF($M$185="110 mm",'Datablad 3'!D145,IF($M$185="250 mm",'Datablad 3'!D146,0)))))</f>
        <v>0</v>
      </c>
      <c r="X185" s="35">
        <f>IF($M$185="32 mm",'Datablad 3'!E142,IF($M$185="50 mm",'Datablad 3'!E143,IF($M$185="90 mm",'Datablad 3'!E144,IF($M$185="110 mm",'Datablad 3'!E145,IF($M$185="250 mm",'Datablad 3'!E146,0)))))</f>
        <v>0</v>
      </c>
      <c r="Y185" s="6">
        <f>IF($K$185="PVC",'Datablad 1'!B45,IF($K$185="HDPE",'Datablad 1'!B46,IF($K$185="LDPE",'Datablad 1'!B47,IF($K$185="RVS",'Datablad 1'!D52,0))))</f>
        <v>0</v>
      </c>
      <c r="Z185" s="6">
        <f t="shared" si="15"/>
        <v>0</v>
      </c>
      <c r="AA185" s="35">
        <f>IF($K$185="PVC",'Datablad 1'!C45,IF($K$185="HDPE",'Datablad 1'!C46,IF($K$185="LDPE",'Datablad 1'!C47,IF($K$185="RVS",'Datablad 1'!E52,0))))</f>
        <v>0</v>
      </c>
      <c r="AB185" s="91">
        <f>IF($K$185="PVC",'Datablad 3'!C137,IF($K$185="HDPE",'Datablad 3'!C138,IF($K$185="LDPE",'Datablad 3'!C139,IF($K$185="RVS",'Datablad 3'!C140,0))))</f>
        <v>0</v>
      </c>
      <c r="AC185" s="91">
        <f>IF($K$185="PVC",'Datablad 3'!D137,IF($K$185="HDPE",'Datablad 3'!D138,IF($K$185="LDPE",'Datablad 3'!D139,IF($K$185="RVS",'Datablad 3'!D140,0))))</f>
        <v>0</v>
      </c>
      <c r="AD185" s="108">
        <f>IF($K$185="PVC",'Datablad 3'!E137,IF($K$185="HDPE",'Datablad 3'!E138,IF($K$185="LDPE",'Datablad 3'!E139,IF($K$185="RVS",'Datablad 3'!E140,0))))</f>
        <v>0</v>
      </c>
      <c r="AE185" s="93">
        <f>IF($O$185="Avegaarboren",'Datablad 3'!C127,IF($O$185="Geoprobe",'Datablad 3'!C128,IF($O$185="Pulsen",'Datablad 3'!C129,IF($O$185="Sonic drilling",'Datablad 3'!C130,0))))</f>
        <v>0</v>
      </c>
      <c r="AF185" s="93">
        <f>IF($O$185="Avegaarboren",'Datablad 3'!D127,IF($O$185="Geoprobe",'Datablad 3'!D128,IF($O$185="Pulsen",'Datablad 3'!D129,IF($O$185="Sonic drilling",'Datablad 3'!D130,0))))</f>
        <v>0</v>
      </c>
      <c r="AG185" s="95">
        <f>IF($O$185="Avegaarboren",'Datablad 3'!E127,IF($O$185="Geoprobe",'Datablad 3'!E128,IF($O$185="Pulsen",'Datablad 3'!E129,IF($O$185="Sonic drilling",'Datablad 3'!E130,0))))</f>
        <v>0</v>
      </c>
      <c r="AH185" s="91">
        <f>'Datablad 1'!B2+'Datablad 1'!B11</f>
        <v>3.1357</v>
      </c>
      <c r="AI185" s="91">
        <f>AH185</f>
        <v>3.1357</v>
      </c>
      <c r="AJ185" s="11" t="s">
        <v>22</v>
      </c>
    </row>
    <row r="186" spans="1:36" ht="12.75">
      <c r="A186" s="48" t="s">
        <v>463</v>
      </c>
      <c r="B186" s="6" t="s">
        <v>535</v>
      </c>
      <c r="C186" s="287">
        <f>(((((((PI()*POWER($S$186/10,2))-(PI()*POWER(($S$186-V186)/10,2)))*($G$186*100))*Y186)/100)*AB186)*$I$186)+(IF($Q$186="Gestandaardiseerde berekening",$G$186*$I$186*'Datablad 3'!C131*AH186,$G$186*$I$186*AE186*AH186))</f>
        <v>0</v>
      </c>
      <c r="D186" s="287">
        <f>(((((((PI()*POWER($S$186/10,2))-(PI()*POWER(($S$186-W186)/10,2)))*($G$186*100))*Z186)/100)*AC186)*$I$186)+(IF($Q$186="Gestandaardiseerde berekening",$G$186*$I$186*'Datablad 3'!D131*AI186,$G$186*$I$186*AF186*AI186))</f>
        <v>0</v>
      </c>
      <c r="E186" s="7" t="s">
        <v>427</v>
      </c>
      <c r="G186" s="6">
        <f>Invoerscherm!E648</f>
        <v>0</v>
      </c>
      <c r="H186" s="35" t="str">
        <f>Invoerscherm!F648</f>
        <v>m</v>
      </c>
      <c r="I186" s="6">
        <f>Invoerscherm!G648</f>
        <v>0</v>
      </c>
      <c r="J186" s="35" t="str">
        <f>Invoerscherm!H648</f>
        <v>stuks</v>
      </c>
      <c r="K186" s="135" t="str">
        <f>Invoerscherm!I648</f>
        <v>&lt;&lt; maak keuze &gt;&gt;</v>
      </c>
      <c r="L186" s="11" t="s">
        <v>464</v>
      </c>
      <c r="M186" s="135" t="str">
        <f>Invoerscherm!L648</f>
        <v>&lt;&lt; maak keuze &gt;&gt;</v>
      </c>
      <c r="N186" s="11" t="s">
        <v>465</v>
      </c>
      <c r="O186" s="135" t="str">
        <f>Invoerscherm!O648</f>
        <v>&lt;&lt; maak keuze &gt;&gt;</v>
      </c>
      <c r="P186" s="11" t="s">
        <v>477</v>
      </c>
      <c r="Q186" s="136" t="str">
        <f>Invoerscherm!C638</f>
        <v>&lt;&lt; maak keuze &gt;&gt;</v>
      </c>
      <c r="R186" s="11" t="s">
        <v>505</v>
      </c>
      <c r="S186" s="48">
        <f t="shared" si="14"/>
        <v>0</v>
      </c>
      <c r="T186" s="35" t="s">
        <v>508</v>
      </c>
      <c r="V186" s="6">
        <f>IF($M$186="32 mm",'Datablad 3'!C142,IF($M$186="50 mm",'Datablad 3'!C143,IF($M$186="90 mm",'Datablad 3'!C144,IF($M$186="110 mm",'Datablad 3'!C145,IF($M$186="250 mm",'Datablad 3'!C146,0)))))</f>
        <v>0</v>
      </c>
      <c r="W186" s="6">
        <f>IF($M$186="32 mm",'Datablad 3'!D142,IF($M$186="50 mm",'Datablad 3'!D143,IF($M$186="90 mm",'Datablad 3'!D144,IF($M$186="110 mm",'Datablad 3'!D145,IF($M$186="250 mm",'Datablad 3'!D146,0)))))</f>
        <v>0</v>
      </c>
      <c r="X186" s="35">
        <f>IF($M$186="32 mm",'Datablad 3'!E142,IF($M$186="50 mm",'Datablad 3'!E143,IF($M$186="90 mm",'Datablad 3'!E144,IF($M$186="110 mm",'Datablad 3'!E145,IF($M$186="250 mm",'Datablad 3'!E146,0)))))</f>
        <v>0</v>
      </c>
      <c r="Y186" s="6">
        <f>IF($K$186="PVC",'Datablad 1'!B45,IF($K$186="HDPE",'Datablad 1'!B46,IF($K$186="LDPE",'Datablad 1'!B47,IF($K$186="RVS",'Datablad 1'!D52,0))))</f>
        <v>0</v>
      </c>
      <c r="Z186" s="6">
        <f t="shared" si="15"/>
        <v>0</v>
      </c>
      <c r="AA186" s="35">
        <f>IF($K$186="PVC",'Datablad 1'!C45,IF($K$186="HDPE",'Datablad 1'!C46,IF($K$186="LDPE",'Datablad 1'!C47,IF($K$186="RVS",'Datablad 1'!E52,0))))</f>
        <v>0</v>
      </c>
      <c r="AB186" s="91">
        <f>IF($K$186="PVC",'Datablad 3'!C137,IF($K$186="HDPE",'Datablad 3'!C138,IF($K$186="LDPE",'Datablad 3'!C139,IF($K$186="RVS",'Datablad 3'!C140,0))))</f>
        <v>0</v>
      </c>
      <c r="AC186" s="91">
        <f>IF($K$186="PVC",'Datablad 3'!D137,IF($K$186="HDPE",'Datablad 3'!D138,IF($K$186="LDPE",'Datablad 3'!D139,IF($K$186="RVS",'Datablad 3'!D140,0))))</f>
        <v>0</v>
      </c>
      <c r="AD186" s="108">
        <f>IF($K$186="PVC",'Datablad 3'!E137,IF($K$186="HDPE",'Datablad 3'!E138,IF($K$186="LDPE",'Datablad 3'!E139,IF($K$186="RVS",'Datablad 3'!E140,0))))</f>
        <v>0</v>
      </c>
      <c r="AE186" s="93">
        <f>IF($O$186="Avegaarboren",'Datablad 3'!C127,IF($O$186="Geoprobe",'Datablad 3'!C128,IF($O$186="Pulsen",'Datablad 3'!C129,IF($O$186="Sonic drilling",'Datablad 3'!C130,0))))</f>
        <v>0</v>
      </c>
      <c r="AF186" s="93">
        <f>IF($O$186="Avegaarboren",'Datablad 3'!D127,IF($O$186="Geoprobe",'Datablad 3'!D128,IF($O$186="Pulsen",'Datablad 3'!D129,IF($O$186="Sonic drilling",'Datablad 3'!D130,0))))</f>
        <v>0</v>
      </c>
      <c r="AG186" s="95">
        <f>IF($O$186="Avegaarboren",'Datablad 3'!E127,IF($O$186="Geoprobe",'Datablad 3'!E128,IF($O$186="Pulsen",'Datablad 3'!E129,IF($O$186="Sonic drilling",'Datablad 3'!E130,0))))</f>
        <v>0</v>
      </c>
      <c r="AH186" s="91">
        <f>'Datablad 1'!B2+'Datablad 1'!B11</f>
        <v>3.1357</v>
      </c>
      <c r="AI186" s="91">
        <f>AH186</f>
        <v>3.1357</v>
      </c>
      <c r="AJ186" s="11" t="s">
        <v>22</v>
      </c>
    </row>
    <row r="187" spans="1:30" ht="12.75">
      <c r="A187" s="48" t="s">
        <v>463</v>
      </c>
      <c r="B187" s="6" t="s">
        <v>536</v>
      </c>
      <c r="C187" s="287">
        <f>(((((((PI()*POWER($S$187/10,2))-(PI()*POWER(($S$187-V187)/10,2)))*($G$187*100))*Y187)/100)*AB187)*$I$187)</f>
        <v>0</v>
      </c>
      <c r="D187" s="287">
        <f>(((((((PI()*POWER($S$187/10,2))-(PI()*POWER(($S$187-W187)/10,2)))*($G$187*100))*Z187)/100)*AC187)*$I$187)</f>
        <v>0</v>
      </c>
      <c r="E187" s="7" t="s">
        <v>427</v>
      </c>
      <c r="G187" s="6">
        <f>Invoerscherm!E652</f>
        <v>0</v>
      </c>
      <c r="H187" s="35" t="str">
        <f>Invoerscherm!F652</f>
        <v>m</v>
      </c>
      <c r="I187" s="6">
        <f>Invoerscherm!G652</f>
        <v>0</v>
      </c>
      <c r="J187" s="35" t="str">
        <f>Invoerscherm!H652</f>
        <v>stuks</v>
      </c>
      <c r="K187" s="135" t="str">
        <f>Invoerscherm!I652</f>
        <v>&lt;&lt; maak keuze &gt;&gt;</v>
      </c>
      <c r="L187" s="11" t="s">
        <v>464</v>
      </c>
      <c r="M187" s="135" t="str">
        <f>Invoerscherm!L652</f>
        <v>&lt;&lt; maak keuze &gt;&gt;</v>
      </c>
      <c r="N187" s="11" t="s">
        <v>465</v>
      </c>
      <c r="S187" s="48">
        <f t="shared" si="14"/>
        <v>0</v>
      </c>
      <c r="T187" s="35" t="s">
        <v>508</v>
      </c>
      <c r="V187" s="6">
        <f>IF($M$187="32 mm",'Datablad 3'!C142,IF($M$187="50 mm",'Datablad 3'!C143,IF($M$187="90 mm",'Datablad 3'!C144,IF($M$187="110 mm",'Datablad 3'!C145,IF($M$187="250 mm",'Datablad 3'!C146,0)))))</f>
        <v>0</v>
      </c>
      <c r="W187" s="6">
        <f>IF($M$187="32 mm",'Datablad 3'!D142,IF($M$187="50 mm",'Datablad 3'!D143,IF($M$187="90 mm",'Datablad 3'!D144,IF($M$187="110 mm",'Datablad 3'!D145,IF($M$187="250 mm",'Datablad 3'!D146,0)))))</f>
        <v>0</v>
      </c>
      <c r="X187" s="35">
        <f>IF($M$187="32 mm",'Datablad 3'!E142,IF($M$187="50 mm",'Datablad 3'!E143,IF($M$187="90 mm",'Datablad 3'!E144,IF($M$187="110 mm",'Datablad 3'!E145,IF($M$187="250 mm",'Datablad 3'!E146,0)))))</f>
        <v>0</v>
      </c>
      <c r="Y187" s="6">
        <f>IF($K$187="PVC",'Datablad 1'!B45,IF($K$187="HDPE",'Datablad 1'!B46,IF($K$187="LDPE",'Datablad 1'!B47,IF($K$187="RVS",'Datablad 1'!D52,0))))</f>
        <v>0</v>
      </c>
      <c r="Z187" s="6">
        <f t="shared" si="15"/>
        <v>0</v>
      </c>
      <c r="AA187" s="35">
        <f>IF($K$187="PVC",'Datablad 1'!C45,IF($K$187="HDPE",'Datablad 1'!C46,IF($K$187="LDPE",'Datablad 1'!C47,IF($K$187="RVS",'Datablad 1'!E52,0))))</f>
        <v>0</v>
      </c>
      <c r="AB187" s="91">
        <f>IF($K$187="PVC",'Datablad 3'!C137,IF($K$187="HDPE",'Datablad 3'!C138,IF($K$187="LDPE",'Datablad 3'!C139,IF($K$187="RVS",'Datablad 3'!C140,0))))</f>
        <v>0</v>
      </c>
      <c r="AC187" s="91">
        <f>IF($K$187="PVC",'Datablad 3'!D137,IF($K$187="HDPE",'Datablad 3'!D138,IF($K$187="LDPE",'Datablad 3'!D139,IF($K$187="RVS",'Datablad 3'!D140,0))))</f>
        <v>0</v>
      </c>
      <c r="AD187" s="108">
        <f>IF($K$187="PVC",'Datablad 3'!E137,IF($K$187="HDPE",'Datablad 3'!E138,IF($K$187="LDPE",'Datablad 3'!E139,IF($K$187="RVS",'Datablad 3'!E140,0))))</f>
        <v>0</v>
      </c>
    </row>
    <row r="188" spans="1:30" ht="12.75">
      <c r="A188" s="48" t="s">
        <v>463</v>
      </c>
      <c r="B188" s="6" t="s">
        <v>537</v>
      </c>
      <c r="C188" s="287">
        <f>(((((((PI()*POWER($S$188/10,2))-(PI()*POWER(($S$188-V188)/10,2)))*($G$188*100))*Y188)/100)*AB188)*$I$188)</f>
        <v>0</v>
      </c>
      <c r="D188" s="287">
        <f>(((((((PI()*POWER($S$188/10,2))-(PI()*POWER(($S$188-W188)/10,2)))*($G$188*100))*Z188)/100)*AC188)*$I$188)</f>
        <v>0</v>
      </c>
      <c r="E188" s="7" t="s">
        <v>427</v>
      </c>
      <c r="G188" s="6">
        <f>Invoerscherm!E654</f>
        <v>0</v>
      </c>
      <c r="H188" s="35" t="str">
        <f>Invoerscherm!F654</f>
        <v>m</v>
      </c>
      <c r="I188" s="6">
        <f>Invoerscherm!G654</f>
        <v>0</v>
      </c>
      <c r="J188" s="35" t="str">
        <f>Invoerscherm!H654</f>
        <v>stuks</v>
      </c>
      <c r="K188" s="135" t="str">
        <f>Invoerscherm!I654</f>
        <v>&lt;&lt; maak keuze &gt;&gt;</v>
      </c>
      <c r="L188" s="11" t="s">
        <v>464</v>
      </c>
      <c r="M188" s="135" t="str">
        <f>Invoerscherm!L654</f>
        <v>&lt;&lt; maak keuze &gt;&gt;</v>
      </c>
      <c r="N188" s="11" t="s">
        <v>465</v>
      </c>
      <c r="S188" s="48">
        <f t="shared" si="14"/>
        <v>0</v>
      </c>
      <c r="T188" s="35" t="s">
        <v>508</v>
      </c>
      <c r="V188" s="6">
        <f>IF($M$188="32 mm",'Datablad 3'!C142,IF($M$188="50 mm",'Datablad 3'!C143,IF($M$188="90 mm",'Datablad 3'!C144,IF($M$188="110 mm",'Datablad 3'!C145,IF($M$188="250 mm",'Datablad 3'!C146,0)))))</f>
        <v>0</v>
      </c>
      <c r="W188" s="6">
        <f>IF($M$188="32 mm",'Datablad 3'!D142,IF($M$188="50 mm",'Datablad 3'!D143,IF($M$188="90 mm",'Datablad 3'!D144,IF($M$188="110 mm",'Datablad 3'!D145,IF($M$188="250 mm",'Datablad 3'!D146,0)))))</f>
        <v>0</v>
      </c>
      <c r="X188" s="35">
        <f>IF($M$188="32 mm",'Datablad 3'!E142,IF($M$188="50 mm",'Datablad 3'!E143,IF($M$188="90 mm",'Datablad 3'!E144,IF($M$188="110 mm",'Datablad 3'!E145,IF($M$188="250 mm",'Datablad 3'!E146,0)))))</f>
        <v>0</v>
      </c>
      <c r="Y188" s="6">
        <f>IF($K$188="PVC",'Datablad 1'!B45,IF($K$188="HDPE",'Datablad 1'!B46,IF($K$188="LDPE",'Datablad 1'!B47,IF($K$188="RVS",'Datablad 1'!D52,0))))</f>
        <v>0</v>
      </c>
      <c r="Z188" s="6">
        <f t="shared" si="15"/>
        <v>0</v>
      </c>
      <c r="AA188" s="35">
        <f>IF($K$188="PVC",'Datablad 1'!C45,IF($K$188="HDPE",'Datablad 1'!C46,IF($K$188="LDPE",'Datablad 1'!C47,IF($K$188="RVS",'Datablad 1'!E52,0))))</f>
        <v>0</v>
      </c>
      <c r="AB188" s="91">
        <f>IF($K$188="PVC",'Datablad 3'!C137,IF($K$188="HDPE",'Datablad 3'!C138,IF($K$188="LDPE",'Datablad 3'!C139,IF($K$188="RVS",'Datablad 3'!C140,0))))</f>
        <v>0</v>
      </c>
      <c r="AC188" s="91">
        <f>IF($K$188="PVC",'Datablad 3'!D137,IF($K$188="HDPE",'Datablad 3'!D138,IF($K$188="LDPE",'Datablad 3'!D139,IF($K$188="RVS",'Datablad 3'!D140,0))))</f>
        <v>0</v>
      </c>
      <c r="AD188" s="108">
        <f>IF($K$188="PVC",'Datablad 3'!E137,IF($K$188="HDPE",'Datablad 3'!E138,IF($K$188="LDPE",'Datablad 3'!E139,IF($K$188="RVS",'Datablad 3'!E140,0))))</f>
        <v>0</v>
      </c>
    </row>
    <row r="189" spans="1:30" ht="12.75">
      <c r="A189" s="48" t="s">
        <v>463</v>
      </c>
      <c r="B189" s="6" t="s">
        <v>538</v>
      </c>
      <c r="C189" s="287">
        <f>(((((((PI()*POWER($S$189/10,2))-(PI()*POWER(($S$189-V189)/10,2)))*($G$189*100))*Y189)/100)*AB189)*$I$189)</f>
        <v>0</v>
      </c>
      <c r="D189" s="287">
        <f>(((((((PI()*POWER($S$189/10,2))-(PI()*POWER(($S$189-W189)/10,2)))*($G$189*100))*Z189)/100)*AC189)*$I$189)</f>
        <v>0</v>
      </c>
      <c r="E189" s="7" t="s">
        <v>427</v>
      </c>
      <c r="G189" s="6">
        <f>Invoerscherm!E656</f>
        <v>0</v>
      </c>
      <c r="H189" s="35" t="str">
        <f>Invoerscherm!F656</f>
        <v>m</v>
      </c>
      <c r="I189" s="6">
        <f>Invoerscherm!G656</f>
        <v>0</v>
      </c>
      <c r="J189" s="35" t="str">
        <f>Invoerscherm!H656</f>
        <v>stuks</v>
      </c>
      <c r="K189" s="135" t="str">
        <f>Invoerscherm!I656</f>
        <v>&lt;&lt; maak keuze &gt;&gt;</v>
      </c>
      <c r="L189" s="11" t="s">
        <v>464</v>
      </c>
      <c r="M189" s="135" t="str">
        <f>Invoerscherm!L656</f>
        <v>&lt;&lt; maak keuze &gt;&gt;</v>
      </c>
      <c r="N189" s="11" t="s">
        <v>465</v>
      </c>
      <c r="S189" s="48">
        <f t="shared" si="14"/>
        <v>0</v>
      </c>
      <c r="T189" s="35" t="s">
        <v>508</v>
      </c>
      <c r="V189" s="6">
        <f>IF($M$189="32 mm",'Datablad 3'!C142,IF($M$189="50 mm",'Datablad 3'!C143,IF($M$189="90 mm",'Datablad 3'!C144,IF($M$189="110 mm",'Datablad 3'!C145,IF($M$189="250 mm",'Datablad 3'!C146,0)))))</f>
        <v>0</v>
      </c>
      <c r="W189" s="6">
        <f>IF($M$189="32 mm",'Datablad 3'!D142,IF($M$189="50 mm",'Datablad 3'!D143,IF($M$189="90 mm",'Datablad 3'!D144,IF($M$189="110 mm",'Datablad 3'!D145,IF($M$189="250 mm",'Datablad 3'!D146,0)))))</f>
        <v>0</v>
      </c>
      <c r="X189" s="35">
        <f>IF($M$189="32 mm",'Datablad 3'!E142,IF($M$189="50 mm",'Datablad 3'!E143,IF($M$189="90 mm",'Datablad 3'!E144,IF($M$189="110 mm",'Datablad 3'!E145,IF($M$189="250 mm",'Datablad 3'!E146,0)))))</f>
        <v>0</v>
      </c>
      <c r="Y189" s="6">
        <f>IF($K$189="PVC",'Datablad 1'!B45,IF($K$189="HDPE",'Datablad 1'!B46,IF($K$189="LDPE",'Datablad 1'!B47,IF($K$189="RVS",'Datablad 1'!D52,0))))</f>
        <v>0</v>
      </c>
      <c r="Z189" s="6">
        <f t="shared" si="15"/>
        <v>0</v>
      </c>
      <c r="AA189" s="35">
        <f>IF($K$189="PVC",'Datablad 1'!C45,IF($K$189="HDPE",'Datablad 1'!C46,IF($K$189="LDPE",'Datablad 1'!C47,IF($K$189="RVS",'Datablad 1'!E52,0))))</f>
        <v>0</v>
      </c>
      <c r="AB189" s="91">
        <f>IF($K$189="PVC",'Datablad 3'!C137,IF($K$189="HDPE",'Datablad 3'!C138,IF($K$189="LDPE",'Datablad 3'!C139,IF($K$189="RVS",'Datablad 3'!C140,0))))</f>
        <v>0</v>
      </c>
      <c r="AC189" s="91">
        <f>IF($K$189="PVC",'Datablad 3'!D137,IF($K$189="HDPE",'Datablad 3'!D138,IF($K$189="LDPE",'Datablad 3'!D139,IF($K$189="RVS",'Datablad 3'!D140,0))))</f>
        <v>0</v>
      </c>
      <c r="AD189" s="108">
        <f>IF($K$189="PVC",'Datablad 3'!E137,IF($K$189="HDPE",'Datablad 3'!E138,IF($K$189="LDPE",'Datablad 3'!E139,IF($K$189="RVS",'Datablad 3'!E140,0))))</f>
        <v>0</v>
      </c>
    </row>
    <row r="190" spans="1:30" ht="12.75">
      <c r="A190" s="48" t="s">
        <v>463</v>
      </c>
      <c r="B190" s="6" t="s">
        <v>539</v>
      </c>
      <c r="C190" s="287">
        <f>(((((((PI()*POWER($S$190/10,2))-(PI()*POWER(($S$190-V190)/10,2)))*($G$190*100))*Y190)/100)*AB190)*$I$190)</f>
        <v>0</v>
      </c>
      <c r="D190" s="287">
        <f>(((((((PI()*POWER($S$190/10,2))-(PI()*POWER(($S$190-W190)/10,2)))*($G$190*100))*Z190)/100)*AC190)*$I$190)</f>
        <v>0</v>
      </c>
      <c r="E190" s="7" t="s">
        <v>427</v>
      </c>
      <c r="G190" s="6">
        <f>Invoerscherm!E658</f>
        <v>0</v>
      </c>
      <c r="H190" s="35" t="str">
        <f>Invoerscherm!F658</f>
        <v>m</v>
      </c>
      <c r="I190" s="6">
        <f>Invoerscherm!G658</f>
        <v>0</v>
      </c>
      <c r="J190" s="35" t="str">
        <f>Invoerscherm!H658</f>
        <v>stuks</v>
      </c>
      <c r="K190" s="135" t="str">
        <f>Invoerscherm!I658</f>
        <v>&lt;&lt; maak keuze &gt;&gt;</v>
      </c>
      <c r="L190" s="11" t="s">
        <v>464</v>
      </c>
      <c r="M190" s="135" t="str">
        <f>Invoerscherm!L658</f>
        <v>&lt;&lt; maak keuze &gt;&gt;</v>
      </c>
      <c r="N190" s="11" t="s">
        <v>465</v>
      </c>
      <c r="S190" s="48">
        <f t="shared" si="14"/>
        <v>0</v>
      </c>
      <c r="T190" s="35" t="s">
        <v>508</v>
      </c>
      <c r="V190" s="6">
        <f>IF($M$190="32 mm",'Datablad 3'!C142,IF($M$190="50 mm",'Datablad 3'!C143,IF($M$190="90 mm",'Datablad 3'!C144,IF($M$190="110 mm",'Datablad 3'!C145,IF($M$190="250 mm",'Datablad 3'!C146,0)))))</f>
        <v>0</v>
      </c>
      <c r="W190" s="6">
        <f>IF($M$190="32 mm",'Datablad 3'!D142,IF($M$190="50 mm",'Datablad 3'!D143,IF($M$190="90 mm",'Datablad 3'!D144,IF($M$190="110 mm",'Datablad 3'!D145,IF($M$190="250 mm",'Datablad 3'!D146,0)))))</f>
        <v>0</v>
      </c>
      <c r="X190" s="35">
        <f>IF($M$190="32 mm",'Datablad 3'!E142,IF($M$190="50 mm",'Datablad 3'!E143,IF($M$190="90 mm",'Datablad 3'!E144,IF($M$190="110 mm",'Datablad 3'!E145,IF($M$190="250 mm",'Datablad 3'!E146,0)))))</f>
        <v>0</v>
      </c>
      <c r="Y190" s="6">
        <f>IF($K$190="PVC",'Datablad 1'!B45,IF($K$190="HDPE",'Datablad 1'!B46,IF($K$190="LDPE",'Datablad 1'!B47,IF($K$190="RVS",'Datablad 1'!D52,0))))</f>
        <v>0</v>
      </c>
      <c r="Z190" s="6">
        <f t="shared" si="15"/>
        <v>0</v>
      </c>
      <c r="AA190" s="35">
        <f>IF($K$190="PVC",'Datablad 1'!C45,IF($K$190="HDPE",'Datablad 1'!C46,IF($K$190="LDPE",'Datablad 1'!C47,IF($K$190="RVS",'Datablad 1'!E52,0))))</f>
        <v>0</v>
      </c>
      <c r="AB190" s="91">
        <f>IF($K$190="PVC",'Datablad 3'!C137,IF($K$190="HDPE",'Datablad 3'!C138,IF($K$190="LDPE",'Datablad 3'!C139,IF($K$190="RVS",'Datablad 3'!C140,0))))</f>
        <v>0</v>
      </c>
      <c r="AC190" s="91">
        <f>IF($K$190="PVC",'Datablad 3'!D137,IF($K$190="HDPE",'Datablad 3'!D138,IF($K$190="LDPE",'Datablad 3'!D139,IF($K$190="RVS",'Datablad 3'!D140,0))))</f>
        <v>0</v>
      </c>
      <c r="AD190" s="108">
        <f>IF($K$190="PVC",'Datablad 3'!E137,IF($K$190="HDPE",'Datablad 3'!E138,IF($K$190="LDPE",'Datablad 3'!E139,IF($K$190="RVS",'Datablad 3'!E140,0))))</f>
        <v>0</v>
      </c>
    </row>
    <row r="191" spans="1:27" ht="12.75">
      <c r="A191" s="2" t="s">
        <v>596</v>
      </c>
      <c r="B191" s="5" t="s">
        <v>336</v>
      </c>
      <c r="C191" s="288"/>
      <c r="D191" s="288"/>
      <c r="E191" s="101"/>
      <c r="G191" s="135" t="str">
        <f>Invoerscherm!C665</f>
        <v>&lt;&lt; maak keuze &gt;&gt;</v>
      </c>
      <c r="H191" s="104" t="s">
        <v>495</v>
      </c>
      <c r="I191" s="135" t="str">
        <f>Invoerscherm!F665</f>
        <v>&lt;&lt; maak keuze &gt;&gt;</v>
      </c>
      <c r="J191" s="104" t="s">
        <v>422</v>
      </c>
      <c r="K191" s="82" t="str">
        <f>Invoerscherm!I665</f>
        <v>&lt;&lt; maak keuze &gt;&gt;</v>
      </c>
      <c r="L191" s="104" t="s">
        <v>339</v>
      </c>
      <c r="V191" s="5">
        <f>IF($K$191="2,4 kW",'Datablad 3'!C59,IF($K$191="6 kW",'Datablad 3'!C62,IF($K$191="8 kW",'Datablad 3'!C63,IF($K$191="12 kW",'Datablad 3'!C64,IF($K$191="13,1 kW",'Datablad 3'!C65,IF($K$191="48 kW",'Datablad 3'!C66,IF($K$191="80 kW",'Datablad 3'!C67,0)))))))</f>
        <v>0</v>
      </c>
      <c r="W191" s="5">
        <f>IF($K$191="2,4 kW",'Datablad 3'!D59,IF($K$191="6 kW",'Datablad 3'!D62,IF($K$191="8 kW",'Datablad 3'!D63,IF($K$191="12 kW",'Datablad 3'!D64,IF($K$191="13,1 kW",'Datablad 3'!D65,IF($K$191="48 kW",'Datablad 3'!D66,IF($K$191="80 kW",'Datablad 3'!D67,0)))))))</f>
        <v>0</v>
      </c>
      <c r="X191" s="107">
        <f>IF($K$191="2,4 kW",'Datablad 3'!E59,IF($K$191="6 kW",'Datablad 3'!E62,IF($K$191="8 kW",'Datablad 3'!E63,IF($K$191="12 kW",'Datablad 3'!E64,IF($K$191="13,1 kW",'Datablad 3'!E65,IF($K$191="48 kW",'Datablad 3'!E66,IF($K$191="80 kW",'Datablad 3'!E67,0)))))))</f>
        <v>0</v>
      </c>
      <c r="Y191" s="100">
        <f>IF($I$191="Diesel",'Datablad 1'!B2+'Datablad 1'!B11,IF($I$191="Biodiesel",'Datablad 1'!B8+'Datablad 1'!B17,0))</f>
        <v>0</v>
      </c>
      <c r="AA191" s="107" t="s">
        <v>496</v>
      </c>
    </row>
    <row r="192" spans="1:27" ht="12.75">
      <c r="A192" s="48" t="s">
        <v>542</v>
      </c>
      <c r="B192" s="48" t="s">
        <v>602</v>
      </c>
      <c r="C192" s="290">
        <f>$G$192*V192*Y192</f>
        <v>0</v>
      </c>
      <c r="D192" s="290">
        <f>$G$192*W192*Z192</f>
        <v>0</v>
      </c>
      <c r="E192" s="7" t="s">
        <v>427</v>
      </c>
      <c r="G192" s="6">
        <f>Invoerscherm!H669</f>
        <v>0</v>
      </c>
      <c r="H192" s="35" t="str">
        <f>Invoerscherm!I669</f>
        <v>m</v>
      </c>
      <c r="I192" s="135" t="str">
        <f>Invoerscherm!J669</f>
        <v>&lt;&lt; maak keuze &gt;&gt;</v>
      </c>
      <c r="J192" s="11" t="s">
        <v>422</v>
      </c>
      <c r="V192" s="85">
        <f>'Datablad 3'!C131</f>
        <v>0.2</v>
      </c>
      <c r="W192" s="85">
        <f>'Datablad 3'!D131</f>
        <v>0.2</v>
      </c>
      <c r="X192" s="95" t="str">
        <f>'Datablad 3'!E131</f>
        <v>L diesel / m</v>
      </c>
      <c r="Y192" s="6">
        <f>IF(I192="Diesel",'Datablad 1'!B2+'Datablad 1'!B11,IF(I192="Biodiesel",'Datablad 1'!B8+'Datablad 1'!B17,0))</f>
        <v>0</v>
      </c>
      <c r="Z192" s="48">
        <f>Y192</f>
        <v>0</v>
      </c>
      <c r="AA192" s="35" t="s">
        <v>496</v>
      </c>
    </row>
    <row r="193" spans="1:27" ht="12.75">
      <c r="A193" s="48" t="s">
        <v>542</v>
      </c>
      <c r="B193" s="48" t="s">
        <v>603</v>
      </c>
      <c r="C193" s="273">
        <f>(($G$193*24)*V193)*Y193</f>
        <v>0</v>
      </c>
      <c r="D193" s="273">
        <f>(($G$193*24)*W193)*Z193</f>
        <v>0</v>
      </c>
      <c r="E193" s="7" t="s">
        <v>427</v>
      </c>
      <c r="G193" s="6">
        <f>Invoerscherm!H673</f>
        <v>0</v>
      </c>
      <c r="H193" s="35" t="str">
        <f>Invoerscherm!I673</f>
        <v>dagen</v>
      </c>
      <c r="I193" s="135" t="str">
        <f>Invoerscherm!J673</f>
        <v>&lt;&lt; maak keuze &gt;&gt;</v>
      </c>
      <c r="J193" s="11" t="s">
        <v>442</v>
      </c>
      <c r="V193" s="6">
        <f>'Datablad 3'!C162</f>
        <v>1</v>
      </c>
      <c r="W193" s="6">
        <f>'Datablad 3'!D162</f>
        <v>3</v>
      </c>
      <c r="X193" s="35" t="str">
        <f>'Datablad 3'!E162</f>
        <v>kWh</v>
      </c>
      <c r="Y193" s="6">
        <f>IF($I$193="Grijze stroom",'Datablad 1'!B29,IF($I$193="Groene stroom",'Datablad 1'!B30,IF($I$193="Directe windenergie",'Datablad 1'!B31,IF($I$193="Directe zone-energie",'Datablad 1'!B32,IF($I$193="Directe waterkracht",'Datablad 1'!B33,IF($I$193="Directe biomassa",'Datablad 1'!B34,IF($I$193="Dieselaggregraat",$Y$191,0)))))))</f>
        <v>0</v>
      </c>
      <c r="Z193" s="48">
        <f>Y193</f>
        <v>0</v>
      </c>
      <c r="AA193" s="35">
        <f>IF($I$193="Grijze stroom",'Datablad 1'!C29,IF($I$193="Groene stroom",'Datablad 1'!C30,IF($I$193="Directe windenergie",'Datablad 1'!C31,IF($I$193="Directe zone-energie",'Datablad 1'!C32,IF($I$193="Directe waterkracht",'Datablad 1'!C33,IF($I$193="Directe biomassa",'Datablad 1'!C34,IF($I$193="Dieselaggregraat",$Y$191,0)))))))</f>
        <v>0</v>
      </c>
    </row>
    <row r="194" spans="1:24" ht="12.75">
      <c r="A194" s="48" t="s">
        <v>712</v>
      </c>
      <c r="B194" s="48" t="s">
        <v>567</v>
      </c>
      <c r="C194" s="273">
        <f>$G$194*V194</f>
        <v>0</v>
      </c>
      <c r="D194" s="273">
        <f>$G$194*W194</f>
        <v>0</v>
      </c>
      <c r="E194" s="7" t="s">
        <v>427</v>
      </c>
      <c r="G194" s="6">
        <f>Invoerscherm!E677</f>
        <v>0</v>
      </c>
      <c r="H194" s="35" t="str">
        <f>Invoerscherm!F677</f>
        <v>kg</v>
      </c>
      <c r="V194" s="6">
        <f>'Datablad 3'!C152</f>
        <v>0.37733</v>
      </c>
      <c r="W194" s="6">
        <f>'Datablad 3'!D152</f>
        <v>0.37733</v>
      </c>
      <c r="X194" s="35" t="str">
        <f>'Datablad 3'!E152</f>
        <v>kg CO2 / kg melasse</v>
      </c>
    </row>
    <row r="195" spans="1:24" ht="12.75">
      <c r="A195" s="48" t="s">
        <v>712</v>
      </c>
      <c r="B195" s="48" t="s">
        <v>62</v>
      </c>
      <c r="C195" s="273">
        <f>$G$195*V195</f>
        <v>0</v>
      </c>
      <c r="D195" s="273">
        <f>$G$195*W195</f>
        <v>0</v>
      </c>
      <c r="E195" s="7" t="s">
        <v>427</v>
      </c>
      <c r="G195" s="6">
        <f>Invoerscherm!E679</f>
        <v>0</v>
      </c>
      <c r="H195" s="35" t="str">
        <f>Invoerscherm!F679</f>
        <v>kg</v>
      </c>
      <c r="V195" s="6">
        <f>'Datablad 3'!C153</f>
        <v>0.328334</v>
      </c>
      <c r="W195" s="6">
        <f>'Datablad 3'!D153</f>
        <v>0.328334</v>
      </c>
      <c r="X195" s="35" t="str">
        <f>'Datablad 3'!E153</f>
        <v>kg CO2 / m3 protamylasse</v>
      </c>
    </row>
    <row r="196" spans="1:24" ht="12.75">
      <c r="A196" s="48" t="s">
        <v>712</v>
      </c>
      <c r="B196" s="48" t="s">
        <v>568</v>
      </c>
      <c r="C196" s="273">
        <f>$G$196*V196</f>
        <v>0</v>
      </c>
      <c r="D196" s="273">
        <f>$G$196*W196</f>
        <v>0</v>
      </c>
      <c r="E196" s="7" t="s">
        <v>427</v>
      </c>
      <c r="G196" s="6">
        <f>Invoerscherm!E681</f>
        <v>0</v>
      </c>
      <c r="H196" s="35" t="str">
        <f>Invoerscherm!F681</f>
        <v>kg</v>
      </c>
      <c r="V196" s="6">
        <f>'Datablad 3'!C154</f>
        <v>1.414305</v>
      </c>
      <c r="W196" s="6">
        <f>'Datablad 3'!D154</f>
        <v>1.414305</v>
      </c>
      <c r="X196" s="35" t="str">
        <f>'Datablad 3'!E154</f>
        <v>kg CO2 / kg soja olie</v>
      </c>
    </row>
    <row r="197" spans="1:24" ht="12.75">
      <c r="A197" s="48" t="s">
        <v>712</v>
      </c>
      <c r="B197" s="48" t="s">
        <v>709</v>
      </c>
      <c r="C197" s="273">
        <f>$G$197*V197</f>
        <v>0</v>
      </c>
      <c r="D197" s="273">
        <f>$G$197*W197</f>
        <v>0</v>
      </c>
      <c r="E197" s="7" t="s">
        <v>427</v>
      </c>
      <c r="G197" s="6">
        <f>Invoerscherm!E685</f>
        <v>0</v>
      </c>
      <c r="H197" s="6" t="str">
        <f>Invoerscherm!F685</f>
        <v>kg</v>
      </c>
      <c r="V197" s="6">
        <f>'Datablad 3'!C149</f>
        <v>0.328299147826087</v>
      </c>
      <c r="W197" s="6">
        <f>'Datablad 3'!D149</f>
        <v>0.328299147826087</v>
      </c>
      <c r="X197" s="6" t="str">
        <f>'Datablad 3'!E149</f>
        <v>kg CO2 / kg NH4H2PO4</v>
      </c>
    </row>
    <row r="198" spans="1:24" ht="12.75">
      <c r="A198" s="48" t="s">
        <v>712</v>
      </c>
      <c r="B198" s="48" t="s">
        <v>710</v>
      </c>
      <c r="C198" s="273">
        <f>$G$198*V198</f>
        <v>0</v>
      </c>
      <c r="D198" s="273">
        <f>$G$198*W198</f>
        <v>0</v>
      </c>
      <c r="E198" s="7" t="s">
        <v>427</v>
      </c>
      <c r="G198" s="6">
        <f>Invoerscherm!E687</f>
        <v>0</v>
      </c>
      <c r="H198" s="6" t="str">
        <f>Invoerscherm!F687</f>
        <v>kg</v>
      </c>
      <c r="V198" s="6">
        <f>'Datablad 3'!C150</f>
        <v>5.731217</v>
      </c>
      <c r="W198" s="6">
        <f>'Datablad 3'!D150</f>
        <v>5.731217</v>
      </c>
      <c r="X198" s="6" t="str">
        <f>'Datablad 3'!E150</f>
        <v>kg CO2 / kg ammoniumnitraat</v>
      </c>
    </row>
    <row r="199" spans="1:24" ht="12.75">
      <c r="A199" s="48" t="s">
        <v>712</v>
      </c>
      <c r="B199" s="48" t="s">
        <v>711</v>
      </c>
      <c r="C199" s="273">
        <f>$G$199*V199</f>
        <v>0</v>
      </c>
      <c r="D199" s="273">
        <f>$G$199*W199</f>
        <v>0</v>
      </c>
      <c r="E199" s="7" t="s">
        <v>427</v>
      </c>
      <c r="G199" s="6">
        <f>Invoerscherm!E689</f>
        <v>0</v>
      </c>
      <c r="H199" s="6" t="str">
        <f>Invoerscherm!F689</f>
        <v>kg</v>
      </c>
      <c r="V199" s="6">
        <f>'Datablad 3'!C151</f>
        <v>5.673339</v>
      </c>
      <c r="W199" s="6">
        <f>'Datablad 3'!D151</f>
        <v>5.673339</v>
      </c>
      <c r="X199" s="6" t="str">
        <f>'Datablad 3'!E151</f>
        <v>kg CO2 / kg Na-tri-polyfosfaat</v>
      </c>
    </row>
    <row r="200" spans="1:24" ht="12.75">
      <c r="A200" s="48" t="s">
        <v>604</v>
      </c>
      <c r="B200" s="48" t="s">
        <v>567</v>
      </c>
      <c r="C200" s="273">
        <f>$G$200*V200</f>
        <v>0</v>
      </c>
      <c r="D200" s="273">
        <f>$G$200*W200</f>
        <v>0</v>
      </c>
      <c r="E200" s="7" t="s">
        <v>427</v>
      </c>
      <c r="G200" s="6">
        <f aca="true" t="shared" si="16" ref="G200:H202">G194</f>
        <v>0</v>
      </c>
      <c r="H200" s="35" t="str">
        <f t="shared" si="16"/>
        <v>kg</v>
      </c>
      <c r="V200" s="6">
        <f>'Datablad 2'!C13</f>
        <v>1.8080000000000003</v>
      </c>
      <c r="W200" s="6">
        <f>V200</f>
        <v>1.8080000000000003</v>
      </c>
      <c r="X200" s="35" t="str">
        <f>'Datablad 2'!D13</f>
        <v>kg CO2 / kg melasse</v>
      </c>
    </row>
    <row r="201" spans="1:24" ht="12.75">
      <c r="A201" s="48" t="s">
        <v>604</v>
      </c>
      <c r="B201" s="48" t="s">
        <v>62</v>
      </c>
      <c r="C201" s="273">
        <f>$G$201*V201</f>
        <v>0</v>
      </c>
      <c r="D201" s="273">
        <f>$G$201*W201</f>
        <v>0</v>
      </c>
      <c r="E201" s="7" t="s">
        <v>427</v>
      </c>
      <c r="G201" s="6">
        <f t="shared" si="16"/>
        <v>0</v>
      </c>
      <c r="H201" s="35" t="str">
        <f t="shared" si="16"/>
        <v>kg</v>
      </c>
      <c r="V201" s="6">
        <f>'Datablad 2'!C14</f>
        <v>1.3032000000000001</v>
      </c>
      <c r="W201" s="6">
        <f>V201</f>
        <v>1.3032000000000001</v>
      </c>
      <c r="X201" s="35" t="str">
        <f>'Datablad 2'!D14</f>
        <v>kg CO2 / kg protamylasse</v>
      </c>
    </row>
    <row r="202" spans="1:24" ht="12.75">
      <c r="A202" s="48" t="s">
        <v>604</v>
      </c>
      <c r="B202" s="48" t="s">
        <v>568</v>
      </c>
      <c r="C202" s="273">
        <f>$G$202*V202</f>
        <v>0</v>
      </c>
      <c r="D202" s="273">
        <f>$G$202*W202</f>
        <v>0</v>
      </c>
      <c r="E202" s="7" t="s">
        <v>427</v>
      </c>
      <c r="G202" s="6">
        <f t="shared" si="16"/>
        <v>0</v>
      </c>
      <c r="H202" s="35" t="str">
        <f t="shared" si="16"/>
        <v>kg</v>
      </c>
      <c r="V202" s="6">
        <f>'Datablad 2'!C15</f>
        <v>5.642400000000001</v>
      </c>
      <c r="W202" s="6">
        <f>V202</f>
        <v>5.642400000000001</v>
      </c>
      <c r="X202" s="35" t="str">
        <f>'Datablad 2'!D15</f>
        <v>kg CO2 / kg soja olie</v>
      </c>
    </row>
    <row r="203" spans="1:24" ht="12.75">
      <c r="A203" s="48" t="s">
        <v>444</v>
      </c>
      <c r="B203" s="48" t="s">
        <v>428</v>
      </c>
      <c r="C203" s="273">
        <f>$G$203*$I$203*$K$203*V203*1.5</f>
        <v>0</v>
      </c>
      <c r="D203" s="273">
        <f>$G$203*$I$203*$K$203*W203*1.5</f>
        <v>0</v>
      </c>
      <c r="E203" s="7" t="s">
        <v>427</v>
      </c>
      <c r="G203" s="6">
        <f>Invoerscherm!C696</f>
        <v>0</v>
      </c>
      <c r="H203" s="35" t="str">
        <f>Invoerscherm!D696</f>
        <v>km</v>
      </c>
      <c r="I203" s="6">
        <f>Invoerscherm!C700</f>
        <v>0</v>
      </c>
      <c r="J203" s="35" t="str">
        <f>Invoerscherm!D700</f>
        <v>aantal keer rijden</v>
      </c>
      <c r="K203" s="44">
        <f>Invoerscherm!C704</f>
        <v>0</v>
      </c>
      <c r="L203" s="106" t="str">
        <f>Invoerscherm!D704</f>
        <v>L brandstof / km</v>
      </c>
      <c r="M203" s="114" t="str">
        <f>Invoerscherm!C708</f>
        <v>&lt;&lt; maak keuze &gt;&gt;</v>
      </c>
      <c r="N203" s="11" t="s">
        <v>422</v>
      </c>
      <c r="V203" s="44">
        <f>IF($M$203="Diesel",'Datablad 1'!B2+'Datablad 1'!B11,IF($M$203="Benzine",'Datablad 1'!B3+'Datablad 1'!B12,IF($M$203="LPG",'Datablad 1'!B4+'Datablad 1'!B13,IF($M$203="Biodiesel",'Datablad 1'!B8+'Datablad 1'!B17,0))))</f>
        <v>0</v>
      </c>
      <c r="W203" s="44">
        <f>V203</f>
        <v>0</v>
      </c>
      <c r="X203" s="35" t="s">
        <v>496</v>
      </c>
    </row>
    <row r="204" ht="12.75"/>
    <row r="205" spans="1:4" ht="12.75">
      <c r="A205" s="120" t="s">
        <v>463</v>
      </c>
      <c r="B205" s="121"/>
      <c r="C205" s="274">
        <f>SUM(C183:C190)</f>
        <v>0</v>
      </c>
      <c r="D205" s="274">
        <f>SUM(D183:D190)</f>
        <v>0</v>
      </c>
    </row>
    <row r="206" spans="1:4" ht="12.75">
      <c r="A206" s="120" t="s">
        <v>542</v>
      </c>
      <c r="B206" s="121"/>
      <c r="C206" s="274">
        <f>SUM(C192:C193)</f>
        <v>0</v>
      </c>
      <c r="D206" s="274">
        <f>SUM(D192:D193)</f>
        <v>0</v>
      </c>
    </row>
    <row r="207" spans="1:4" ht="12.75">
      <c r="A207" s="120" t="s">
        <v>712</v>
      </c>
      <c r="B207" s="121"/>
      <c r="C207" s="274">
        <f>SUM(C194:C199)</f>
        <v>0</v>
      </c>
      <c r="D207" s="274">
        <f>SUM(D194:D199)</f>
        <v>0</v>
      </c>
    </row>
    <row r="208" spans="1:4" ht="12.75">
      <c r="A208" s="122" t="s">
        <v>604</v>
      </c>
      <c r="B208" s="123"/>
      <c r="C208" s="274">
        <f>SUM(C200:C202)</f>
        <v>0</v>
      </c>
      <c r="D208" s="274">
        <f>SUM(D200:D202)</f>
        <v>0</v>
      </c>
    </row>
    <row r="209" spans="1:4" ht="12.75">
      <c r="A209" s="122" t="s">
        <v>444</v>
      </c>
      <c r="C209" s="274">
        <f>C203</f>
        <v>0</v>
      </c>
      <c r="D209" s="274">
        <f>D203</f>
        <v>0</v>
      </c>
    </row>
    <row r="210" ht="12.75"/>
    <row r="211" ht="12.75"/>
    <row r="212" spans="3:39" s="42" customFormat="1" ht="12.75">
      <c r="C212" s="280"/>
      <c r="D212" s="280"/>
      <c r="H212" s="281"/>
      <c r="J212" s="281"/>
      <c r="L212" s="281"/>
      <c r="N212" s="281"/>
      <c r="P212" s="281"/>
      <c r="Q212" s="282"/>
      <c r="R212" s="281"/>
      <c r="S212" s="282"/>
      <c r="T212" s="281"/>
      <c r="X212" s="281"/>
      <c r="AA212" s="281"/>
      <c r="AD212" s="281"/>
      <c r="AG212" s="281"/>
      <c r="AJ212" s="281"/>
      <c r="AM212" s="281"/>
    </row>
    <row r="213" spans="1:39" ht="15.75">
      <c r="A213" s="87" t="s">
        <v>635</v>
      </c>
      <c r="G213" s="13" t="s">
        <v>227</v>
      </c>
      <c r="H213" s="9"/>
      <c r="I213" s="3"/>
      <c r="J213" s="9"/>
      <c r="K213" s="3"/>
      <c r="L213" s="9"/>
      <c r="M213" s="3"/>
      <c r="N213" s="9"/>
      <c r="O213" s="3"/>
      <c r="P213" s="9"/>
      <c r="Q213" s="9"/>
      <c r="R213" s="9"/>
      <c r="S213" s="9"/>
      <c r="T213" s="9"/>
      <c r="U213" s="34"/>
      <c r="V213" s="1" t="s">
        <v>228</v>
      </c>
      <c r="W213" s="1"/>
      <c r="X213" s="9"/>
      <c r="Y213" s="3"/>
      <c r="Z213" s="3"/>
      <c r="AA213" s="9"/>
      <c r="AB213" s="3"/>
      <c r="AC213" s="3"/>
      <c r="AD213" s="9"/>
      <c r="AE213" s="3"/>
      <c r="AF213" s="3"/>
      <c r="AG213" s="9"/>
      <c r="AH213" s="3"/>
      <c r="AI213" s="3"/>
      <c r="AJ213" s="9"/>
      <c r="AK213" s="3"/>
      <c r="AL213" s="3"/>
      <c r="AM213" s="9"/>
    </row>
    <row r="214" spans="7:38" ht="12.75">
      <c r="G214"/>
      <c r="I214"/>
      <c r="K214"/>
      <c r="M214"/>
      <c r="O214"/>
      <c r="Q214" s="35"/>
      <c r="S214" s="35"/>
      <c r="U214" s="36"/>
      <c r="V214"/>
      <c r="W214"/>
      <c r="Y214"/>
      <c r="Z214"/>
      <c r="AB214"/>
      <c r="AC214"/>
      <c r="AE214"/>
      <c r="AF214"/>
      <c r="AH214"/>
      <c r="AI214"/>
      <c r="AK214"/>
      <c r="AL214"/>
    </row>
    <row r="215" spans="1:39" ht="12.75">
      <c r="A215" s="14" t="s">
        <v>229</v>
      </c>
      <c r="B215" s="14" t="s">
        <v>230</v>
      </c>
      <c r="C215" s="272" t="s">
        <v>231</v>
      </c>
      <c r="D215" s="272" t="s">
        <v>232</v>
      </c>
      <c r="E215" s="37" t="s">
        <v>233</v>
      </c>
      <c r="G215" s="14" t="s">
        <v>234</v>
      </c>
      <c r="H215" s="37" t="s">
        <v>233</v>
      </c>
      <c r="I215" s="14" t="s">
        <v>235</v>
      </c>
      <c r="J215" s="37" t="s">
        <v>233</v>
      </c>
      <c r="K215" s="14" t="s">
        <v>236</v>
      </c>
      <c r="L215" s="37" t="s">
        <v>233</v>
      </c>
      <c r="M215" s="14" t="s">
        <v>237</v>
      </c>
      <c r="N215" s="37" t="s">
        <v>233</v>
      </c>
      <c r="O215" s="14" t="s">
        <v>238</v>
      </c>
      <c r="P215" s="37" t="s">
        <v>233</v>
      </c>
      <c r="Q215" s="14" t="s">
        <v>421</v>
      </c>
      <c r="R215" s="37" t="s">
        <v>233</v>
      </c>
      <c r="S215" s="14" t="s">
        <v>507</v>
      </c>
      <c r="T215" s="37" t="s">
        <v>233</v>
      </c>
      <c r="U215" s="38"/>
      <c r="V215" s="14" t="s">
        <v>239</v>
      </c>
      <c r="W215" s="14" t="s">
        <v>240</v>
      </c>
      <c r="X215" s="37" t="s">
        <v>233</v>
      </c>
      <c r="Y215" s="14" t="s">
        <v>241</v>
      </c>
      <c r="Z215" s="14" t="s">
        <v>242</v>
      </c>
      <c r="AA215" s="37" t="s">
        <v>233</v>
      </c>
      <c r="AB215" s="14" t="s">
        <v>243</v>
      </c>
      <c r="AC215" s="14" t="s">
        <v>244</v>
      </c>
      <c r="AD215" s="37" t="s">
        <v>233</v>
      </c>
      <c r="AE215" s="14" t="s">
        <v>245</v>
      </c>
      <c r="AF215" s="14" t="s">
        <v>246</v>
      </c>
      <c r="AG215" s="37" t="s">
        <v>233</v>
      </c>
      <c r="AH215" s="14" t="s">
        <v>247</v>
      </c>
      <c r="AI215" s="14" t="s">
        <v>248</v>
      </c>
      <c r="AJ215" s="37" t="s">
        <v>233</v>
      </c>
      <c r="AK215" s="14" t="s">
        <v>249</v>
      </c>
      <c r="AL215" s="14" t="s">
        <v>250</v>
      </c>
      <c r="AM215" s="37" t="s">
        <v>233</v>
      </c>
    </row>
    <row r="216" spans="1:36" ht="12.75">
      <c r="A216" s="6" t="s">
        <v>463</v>
      </c>
      <c r="B216" s="6" t="s">
        <v>655</v>
      </c>
      <c r="C216" s="287">
        <f>(((((((PI()*POWER($S$216/10,2))-(PI()*POWER(($S$216-V216)/10,2)))*($G$216*100))*Y216)/100)*AB216)*$I$216)+(IF($Q$216="Gestandaardiseerde berekening",$G$216*$I$216*'Datablad 3'!C131*AH216,$G$216*$I$216*AE216*AH216))</f>
        <v>0</v>
      </c>
      <c r="D216" s="287">
        <f>(((((((PI()*POWER($S$216/10,2))-(PI()*POWER(($S$216-W216)/10,2)))*($G$216*100))*Z216)/100)*AC216)*$I$216)+(IF($Q$216="Gestandaardiseerde berekening",$G$216*$I$216*'Datablad 3'!D131*AI216,$G$216*$I$216*AF216*AI216))</f>
        <v>0</v>
      </c>
      <c r="E216" s="7" t="s">
        <v>427</v>
      </c>
      <c r="G216" s="6">
        <f>Invoerscherm!E722</f>
        <v>0</v>
      </c>
      <c r="H216" s="35" t="str">
        <f>Invoerscherm!F722</f>
        <v>m</v>
      </c>
      <c r="I216" s="6">
        <f>Invoerscherm!G722</f>
        <v>0</v>
      </c>
      <c r="J216" s="35" t="str">
        <f>Invoerscherm!H722</f>
        <v>stuks</v>
      </c>
      <c r="K216" s="82" t="str">
        <f>Invoerscherm!I722</f>
        <v>&lt;&lt; maak keuze &gt;&gt;</v>
      </c>
      <c r="L216" s="11" t="s">
        <v>464</v>
      </c>
      <c r="M216" s="82" t="str">
        <f>Invoerscherm!L722</f>
        <v>&lt;&lt; maak keuze &gt;&gt;</v>
      </c>
      <c r="N216" s="11" t="s">
        <v>465</v>
      </c>
      <c r="O216" s="82" t="str">
        <f>Invoerscherm!O722</f>
        <v>&lt;&lt; maak keuze &gt;&gt;</v>
      </c>
      <c r="P216" s="11" t="s">
        <v>477</v>
      </c>
      <c r="Q216" s="110" t="str">
        <f>Invoerscherm!C718</f>
        <v>&lt;&lt; maak keuze &gt;&gt;</v>
      </c>
      <c r="R216" s="11" t="s">
        <v>505</v>
      </c>
      <c r="S216" s="48">
        <f>IF(M216="32 mm",32/2,IF(M216="50 mm",50/2,IF(M216="90 mm",90/2,IF(M216="110 mm",110/2,IF(M216="250 mm",250/2,0)))))</f>
        <v>0</v>
      </c>
      <c r="T216" s="35" t="s">
        <v>508</v>
      </c>
      <c r="V216" s="6">
        <f>IF($M$216="32 mm",'Datablad 3'!C142,IF($M$216="50 mm",'Datablad 3'!C143,IF($M$216="90 mm",'Datablad 3'!C144,IF($M$216="110 mm",'Datablad 3'!C145,IF($M$216="250 mm",'Datablad 3'!C146,0)))))</f>
        <v>0</v>
      </c>
      <c r="W216" s="6">
        <f>IF($M$216="32 mm",'Datablad 3'!D142,IF($M$216="50 mm",'Datablad 3'!D143,IF($M$216="90 mm",'Datablad 3'!D144,IF($M$216="110 mm",'Datablad 3'!D145,IF($M$216="250 mm",'Datablad 3'!D146,0)))))</f>
        <v>0</v>
      </c>
      <c r="X216" s="35">
        <f>IF($M$216="32 mm",'Datablad 3'!E142,IF($M$216="50 mm",'Datablad 3'!E143,IF($M$216="90 mm",'Datablad 3'!E144,IF($M$216="110 mm",'Datablad 3'!E145,IF($M$216="250 mm",'Datablad 3'!E146,0)))))</f>
        <v>0</v>
      </c>
      <c r="Y216" s="6">
        <f>IF($K$216="PVC",'Datablad 1'!B45,IF($K$216="HDPE",'Datablad 1'!B46,IF($K$216="LDPE",'Datablad 1'!B47,IF($K$216="RVS",'Datablad 1'!D52,0))))</f>
        <v>0</v>
      </c>
      <c r="Z216" s="6">
        <f>Y216</f>
        <v>0</v>
      </c>
      <c r="AA216" s="35">
        <f>IF($K$216="PVC",'Datablad 1'!C45,IF($K$216="HDPE",'Datablad 1'!C46,IF($K$216="LDPE",'Datablad 1'!C47,IF($K$216="RVS",'Datablad 1'!E52,0))))</f>
        <v>0</v>
      </c>
      <c r="AB216" s="91">
        <f>IF($K$216="PVC",'Datablad 3'!C137,IF($K$216="HDPE",'Datablad 3'!C138,IF($K$216="LDPE",'Datablad 3'!C139,IF($K$216="RVS",'Datablad 3'!C140,0))))</f>
        <v>0</v>
      </c>
      <c r="AC216" s="91">
        <f>IF($K$216="PVC",'Datablad 3'!D137,IF($K$216="HDPE",'Datablad 3'!D138,IF($K$216="LDPE",'Datablad 3'!D139,IF($K$216="RVS",'Datablad 3'!D140,0))))</f>
        <v>0</v>
      </c>
      <c r="AD216" s="108">
        <f>IF($K$216="PVC",'Datablad 3'!E137,IF($K$216="HDPE",'Datablad 3'!E138,IF($K$216="LDPE",'Datablad 3'!E139,IF($K$216="RVS",'Datablad 3'!E140,0))))</f>
        <v>0</v>
      </c>
      <c r="AE216" s="93">
        <f>IF($O$216="Avegaarboren",'Datablad 3'!C127,IF($O$216="Geoprobe",'Datablad 3'!C128,IF($O$216="Pulsen",'Datablad 3'!C129,IF($O$216="Sonic drilling",'Datablad 3'!C130,0))))</f>
        <v>0</v>
      </c>
      <c r="AF216" s="93">
        <f>IF($O$216="Avegaarboren",'Datablad 3'!D127,IF($O$216="Geoprobe",'Datablad 3'!D128,IF($O$216="Pulsen",'Datablad 3'!D129,IF($O$216="Sonic drilling",'Datablad 3'!D130,0))))</f>
        <v>0</v>
      </c>
      <c r="AG216" s="95">
        <f>IF($O$216="Avegaarboren",'Datablad 3'!E127,IF($O$216="Geoprobe",'Datablad 3'!E128,IF($O$216="Pulsen",'Datablad 3'!E129,IF($O$216="Sonic drilling",'Datablad 3'!E130,0))))</f>
        <v>0</v>
      </c>
      <c r="AH216" s="91">
        <f>'Datablad 1'!B2+'Datablad 1'!B11</f>
        <v>3.1357</v>
      </c>
      <c r="AI216" s="91">
        <f>AH216</f>
        <v>3.1357</v>
      </c>
      <c r="AJ216" s="11" t="s">
        <v>22</v>
      </c>
    </row>
    <row r="217" spans="1:36" ht="12.75">
      <c r="A217" s="6" t="s">
        <v>463</v>
      </c>
      <c r="B217" s="6" t="s">
        <v>656</v>
      </c>
      <c r="C217" s="287">
        <f>(((((((PI()*POWER($S$217/10,2))-(PI()*POWER(($S$217-V217)/10,2)))*($G$217*100))*Y217)/100)*AB217)*$I$217)+(IF($Q$217="Gestandaardiseerde berekening",$G$217*$I$217*'Datablad 3'!C131*AH217,$G$217*$I$217*AE217*AH217))</f>
        <v>0</v>
      </c>
      <c r="D217" s="287">
        <f>(((((((PI()*POWER($S$217/10,2))-(PI()*POWER(($S$217-W217)/10,2)))*($G$217*100))*Z217)/100)*AC217)*$I$217)+(IF($Q$217="Gestandaardiseerde berekening",$G$217*$I$217*'Datablad 3'!D131*AI217,$G$217*$I$217*AF217*AI217))</f>
        <v>0</v>
      </c>
      <c r="E217" s="7" t="s">
        <v>427</v>
      </c>
      <c r="G217" s="6">
        <f>Invoerscherm!E724</f>
        <v>0</v>
      </c>
      <c r="H217" s="35" t="str">
        <f>Invoerscherm!F724</f>
        <v>m</v>
      </c>
      <c r="I217" s="6">
        <f>Invoerscherm!G724</f>
        <v>0</v>
      </c>
      <c r="J217" s="35" t="str">
        <f>Invoerscherm!H724</f>
        <v>stuks</v>
      </c>
      <c r="K217" s="82" t="str">
        <f>Invoerscherm!I724</f>
        <v>&lt;&lt; maak keuze &gt;&gt;</v>
      </c>
      <c r="L217" s="11" t="s">
        <v>464</v>
      </c>
      <c r="M217" s="82" t="str">
        <f>Invoerscherm!L724</f>
        <v>&lt;&lt; maak keuze &gt;&gt;</v>
      </c>
      <c r="N217" s="11" t="s">
        <v>465</v>
      </c>
      <c r="O217" s="82" t="str">
        <f>Invoerscherm!O724</f>
        <v>&lt;&lt; maak keuze &gt;&gt;</v>
      </c>
      <c r="P217" s="11" t="s">
        <v>477</v>
      </c>
      <c r="Q217" s="110" t="str">
        <f>Invoerscherm!C718</f>
        <v>&lt;&lt; maak keuze &gt;&gt;</v>
      </c>
      <c r="R217" s="11" t="s">
        <v>505</v>
      </c>
      <c r="S217" s="48">
        <f>IF(M217="32 mm",32/2,IF(M217="50 mm",50/2,IF(M217="90 mm",90/2,IF(M217="110 mm",110/2,IF(M217="250 mm",250/2,0)))))</f>
        <v>0</v>
      </c>
      <c r="T217" s="35" t="s">
        <v>508</v>
      </c>
      <c r="V217" s="6">
        <f>IF($M$217="32 mm",'Datablad 3'!C142,IF($M$217="50 mm",'Datablad 3'!C143,IF($M$217="90 mm",'Datablad 3'!C144,IF($M$217="110 mm",'Datablad 3'!C145,IF($M$217="250 mm",'Datablad 3'!C146,0)))))</f>
        <v>0</v>
      </c>
      <c r="W217" s="6">
        <f>IF($M$217="32 mm",'Datablad 3'!D142,IF($M$217="50 mm",'Datablad 3'!D143,IF($M$217="90 mm",'Datablad 3'!D144,IF($M$217="110 mm",'Datablad 3'!D145,IF($M$217="250 mm",'Datablad 3'!D146,0)))))</f>
        <v>0</v>
      </c>
      <c r="X217" s="35">
        <f>IF($M$217="32 mm",'Datablad 3'!E142,IF($M$217="50 mm",'Datablad 3'!E143,IF($M$217="90 mm",'Datablad 3'!E144,IF($M$217="110 mm",'Datablad 3'!E145,IF($M$217="250 mm",'Datablad 3'!E146,0)))))</f>
        <v>0</v>
      </c>
      <c r="Y217" s="6">
        <f>IF($K$217="PVC",'Datablad 1'!B45,IF($K$217="HDPE",'Datablad 1'!B46,IF($K$217="LDPE",'Datablad 1'!B47,IF($K$217="RVS",'Datablad 1'!D52,0))))</f>
        <v>0</v>
      </c>
      <c r="Z217" s="6">
        <f>Y217</f>
        <v>0</v>
      </c>
      <c r="AA217" s="35">
        <f>IF($K$217="PVC",'Datablad 1'!C45,IF($K$217="HDPE",'Datablad 1'!C46,IF($K$217="LDPE",'Datablad 1'!C47,IF($K$217="RVS",'Datablad 1'!E52,0))))</f>
        <v>0</v>
      </c>
      <c r="AB217" s="91">
        <f>IF($K$217="PVC",'Datablad 3'!C137,IF($K$217="HDPE",'Datablad 3'!C138,IF($K$217="LDPE",'Datablad 3'!C139,IF($K$217="RVS",'Datablad 3'!C140,0))))</f>
        <v>0</v>
      </c>
      <c r="AC217" s="91">
        <f>IF($K$217="PVC",'Datablad 3'!D137,IF($K$217="HDPE",'Datablad 3'!D138,IF($K$217="LDPE",'Datablad 3'!D139,IF($K$217="RVS",'Datablad 3'!D140,0))))</f>
        <v>0</v>
      </c>
      <c r="AD217" s="108">
        <f>IF($K$217="PVC",'Datablad 3'!E137,IF($K$217="HDPE",'Datablad 3'!E138,IF($K$217="LDPE",'Datablad 3'!E139,IF($K$217="RVS",'Datablad 3'!E140,0))))</f>
        <v>0</v>
      </c>
      <c r="AE217" s="93">
        <f>IF($O$217="Avegaarboren",'Datablad 3'!C127,IF($O$217="Geoprobe",'Datablad 3'!C128,IF($O$217="Pulsen",'Datablad 3'!C129,IF($O$217="Sonic drilling",'Datablad 3'!C130,0))))</f>
        <v>0</v>
      </c>
      <c r="AF217" s="93">
        <f>IF($O$217="Avegaarboren",'Datablad 3'!D127,IF($O$217="Geoprobe",'Datablad 3'!D128,IF($O$217="Pulsen",'Datablad 3'!D129,IF($O$217="Sonic drilling",'Datablad 3'!D130,0))))</f>
        <v>0</v>
      </c>
      <c r="AG217" s="95">
        <f>IF($O$217="Avegaarboren",'Datablad 3'!E127,IF($O$217="Geoprobe",'Datablad 3'!E128,IF($O$217="Pulsen",'Datablad 3'!E129,IF($O$217="Sonic drilling",'Datablad 3'!E130,0))))</f>
        <v>0</v>
      </c>
      <c r="AH217" s="91">
        <f>'Datablad 1'!B2+'Datablad 1'!B11</f>
        <v>3.1357</v>
      </c>
      <c r="AI217" s="91">
        <f>AH217</f>
        <v>3.1357</v>
      </c>
      <c r="AJ217" s="11" t="s">
        <v>22</v>
      </c>
    </row>
    <row r="218" spans="1:36" ht="12.75">
      <c r="A218" s="6" t="s">
        <v>463</v>
      </c>
      <c r="B218" s="6" t="s">
        <v>657</v>
      </c>
      <c r="C218" s="287">
        <f>(((((((PI()*POWER($S$218/10,2))-(PI()*POWER(($S$218-V218)/10,2)))*($G$218*100))*Y218)/100)*AB218)*$I$218)+(IF($Q$218="Gestandaardiseerde berekening",$G$218*$I$218*'Datablad 3'!C131*AH218,$G$218*$I$218*AE218*AH218))</f>
        <v>0</v>
      </c>
      <c r="D218" s="287">
        <f>(((((((PI()*POWER($S$218/10,2))-(PI()*POWER(($S$218-W218)/10,2)))*($G$218*100))*Z218)/100)*AC218)*$I$218)+(IF($Q$218="Gestandaardiseerde berekening",$G$218*$I$218*'Datablad 3'!D131*AI218,$G$218*$I$218*AF218*AI218))</f>
        <v>0</v>
      </c>
      <c r="E218" s="7" t="s">
        <v>427</v>
      </c>
      <c r="G218" s="6">
        <f>Invoerscherm!E726</f>
        <v>0</v>
      </c>
      <c r="H218" s="35" t="str">
        <f>Invoerscherm!F726</f>
        <v>m</v>
      </c>
      <c r="I218" s="6">
        <f>Invoerscherm!G726</f>
        <v>0</v>
      </c>
      <c r="J218" s="35" t="str">
        <f>Invoerscherm!H726</f>
        <v>stuks</v>
      </c>
      <c r="K218" s="82" t="str">
        <f>Invoerscherm!I726</f>
        <v>&lt;&lt; maak keuze &gt;&gt;</v>
      </c>
      <c r="L218" s="11" t="s">
        <v>464</v>
      </c>
      <c r="M218" s="82" t="str">
        <f>Invoerscherm!L726</f>
        <v>&lt;&lt; maak keuze &gt;&gt;</v>
      </c>
      <c r="N218" s="11" t="s">
        <v>465</v>
      </c>
      <c r="O218" s="82" t="str">
        <f>Invoerscherm!O726</f>
        <v>&lt;&lt; maak keuze &gt;&gt;</v>
      </c>
      <c r="P218" s="11" t="s">
        <v>477</v>
      </c>
      <c r="Q218" s="110" t="str">
        <f>Invoerscherm!C718</f>
        <v>&lt;&lt; maak keuze &gt;&gt;</v>
      </c>
      <c r="R218" s="11" t="s">
        <v>505</v>
      </c>
      <c r="S218" s="48">
        <f>IF(M218="32 mm",32/2,IF(M218="50 mm",50/2,IF(M218="90 mm",90/2,IF(M218="110 mm",110/2,IF(M218="250 mm",250/2,0)))))</f>
        <v>0</v>
      </c>
      <c r="T218" s="35" t="s">
        <v>508</v>
      </c>
      <c r="V218" s="6">
        <f>IF($M$218="32 mm",'Datablad 3'!C142,IF($M$218="50 mm",'Datablad 3'!C143,IF($M$218="90 mm",'Datablad 3'!C144,IF($M$218="110 mm",'Datablad 3'!C145,IF($M$218="250 mm",'Datablad 3'!C146,0)))))</f>
        <v>0</v>
      </c>
      <c r="W218" s="6">
        <f>IF($M$218="32 mm",'Datablad 3'!D142,IF($M$218="50 mm",'Datablad 3'!D143,IF($M$218="90 mm",'Datablad 3'!D144,IF($M$218="110 mm",'Datablad 3'!D145,IF($M$218="250 mm",'Datablad 3'!D146,0)))))</f>
        <v>0</v>
      </c>
      <c r="X218" s="35">
        <f>IF($M$218="32 mm",'Datablad 3'!E142,IF($M$218="50 mm",'Datablad 3'!E143,IF($M$218="90 mm",'Datablad 3'!E144,IF($M$218="110 mm",'Datablad 3'!E145,IF($M$218="250 mm",'Datablad 3'!E146,0)))))</f>
        <v>0</v>
      </c>
      <c r="Y218" s="6">
        <f>IF($K$218="PVC",'Datablad 1'!B45,IF($K$218="HDPE",'Datablad 1'!B46,IF($K$218="LDPE",'Datablad 1'!B47,IF($K$218="RVS",'Datablad 1'!D52,0))))</f>
        <v>0</v>
      </c>
      <c r="Z218" s="6">
        <f>Y218</f>
        <v>0</v>
      </c>
      <c r="AA218" s="35">
        <f>IF($K$218="PVC",'Datablad 1'!C45,IF($K$218="HDPE",'Datablad 1'!C46,IF($K$218="LDPE",'Datablad 1'!C47,IF($K$218="RVS",'Datablad 1'!E52,0))))</f>
        <v>0</v>
      </c>
      <c r="AB218" s="91">
        <f>IF($K$218="PVC",'Datablad 3'!C137,IF($K$218="HDPE",'Datablad 3'!C138,IF($K$218="LDPE",'Datablad 3'!C139,IF($K$218="RVS",'Datablad 3'!C140,0))))</f>
        <v>0</v>
      </c>
      <c r="AC218" s="91">
        <f>IF($K$218="PVC",'Datablad 3'!D137,IF($K$218="HDPE",'Datablad 3'!D138,IF($K$218="LDPE",'Datablad 3'!D139,IF($K$218="RVS",'Datablad 3'!D140,0))))</f>
        <v>0</v>
      </c>
      <c r="AD218" s="108">
        <f>IF($K$218="PVC",'Datablad 3'!E137,IF($K$218="HDPE",'Datablad 3'!E138,IF($K$218="LDPE",'Datablad 3'!E139,IF($K$218="RVS",'Datablad 3'!E140,0))))</f>
        <v>0</v>
      </c>
      <c r="AE218" s="93">
        <f>IF($O$218="Avegaarboren",'Datablad 3'!C127,IF($O$218="Geoprobe",'Datablad 3'!C128,IF($O$218="Pulsen",'Datablad 3'!C129,IF($O$218="Sonic drilling",'Datablad 3'!C130,0))))</f>
        <v>0</v>
      </c>
      <c r="AF218" s="93">
        <f>IF($O$218="Avegaarboren",'Datablad 3'!D127,IF($O$218="Geoprobe",'Datablad 3'!D128,IF($O$218="Pulsen",'Datablad 3'!D129,IF($O$218="Sonic drilling",'Datablad 3'!D130,0))))</f>
        <v>0</v>
      </c>
      <c r="AG218" s="95">
        <f>IF($O$218="Avegaarboren",'Datablad 3'!E127,IF($O$218="Geoprobe",'Datablad 3'!E128,IF($O$218="Pulsen",'Datablad 3'!E129,IF($O$218="Sonic drilling",'Datablad 3'!E130,0))))</f>
        <v>0</v>
      </c>
      <c r="AH218" s="91">
        <f>'Datablad 1'!B2+'Datablad 1'!B11</f>
        <v>3.1357</v>
      </c>
      <c r="AI218" s="91">
        <f>AH218</f>
        <v>3.1357</v>
      </c>
      <c r="AJ218" s="11" t="s">
        <v>22</v>
      </c>
    </row>
    <row r="219" spans="1:36" ht="12.75">
      <c r="A219" s="6" t="s">
        <v>463</v>
      </c>
      <c r="B219" s="6" t="s">
        <v>658</v>
      </c>
      <c r="C219" s="287">
        <f>(((((((PI()*POWER($S$219/10,2))-(PI()*POWER(($S$219-V219)/10,2)))*($G$219*100))*Y219)/100)*AB219)*$I$219)+(IF($Q$219="Gestandaardiseerde berekening",$G$219*$I$219*'Datablad 3'!C131*AH219,$G$219*$I$219*AE219*AH219))</f>
        <v>0</v>
      </c>
      <c r="D219" s="287">
        <f>(((((((PI()*POWER($S$219/10,2))-(PI()*POWER(($S$219-W219)/10,2)))*($G$219*100))*Z219)/100)*AC219)*$I$219)+(IF($Q$219="Gestandaardiseerde berekening",$G$219*$I$219*'Datablad 3'!D131*AI219,$G$219*$I$219*AF219*AI219))</f>
        <v>0</v>
      </c>
      <c r="E219" s="7" t="s">
        <v>427</v>
      </c>
      <c r="G219" s="6">
        <f>Invoerscherm!E728</f>
        <v>0</v>
      </c>
      <c r="H219" s="35" t="str">
        <f>Invoerscherm!F728</f>
        <v>m</v>
      </c>
      <c r="I219" s="6">
        <f>Invoerscherm!G728</f>
        <v>0</v>
      </c>
      <c r="J219" s="35" t="str">
        <f>Invoerscherm!H728</f>
        <v>stuks</v>
      </c>
      <c r="K219" s="82" t="str">
        <f>Invoerscherm!I728</f>
        <v>&lt;&lt; maak keuze &gt;&gt;</v>
      </c>
      <c r="L219" s="11" t="s">
        <v>464</v>
      </c>
      <c r="M219" s="82" t="str">
        <f>Invoerscherm!L728</f>
        <v>&lt;&lt; maak keuze &gt;&gt;</v>
      </c>
      <c r="N219" s="11" t="s">
        <v>465</v>
      </c>
      <c r="O219" s="82" t="str">
        <f>Invoerscherm!O728</f>
        <v>&lt;&lt; maak keuze &gt;&gt;</v>
      </c>
      <c r="P219" s="11" t="s">
        <v>477</v>
      </c>
      <c r="Q219" s="110" t="str">
        <f>Invoerscherm!C718</f>
        <v>&lt;&lt; maak keuze &gt;&gt;</v>
      </c>
      <c r="R219" s="11" t="s">
        <v>505</v>
      </c>
      <c r="S219" s="48">
        <f>IF(M219="32 mm",32/2,IF(M219="50 mm",50/2,IF(M219="90 mm",90/2,IF(M219="110 mm",110/2,IF(M219="250 mm",250/2,0)))))</f>
        <v>0</v>
      </c>
      <c r="T219" s="35" t="s">
        <v>508</v>
      </c>
      <c r="V219" s="6">
        <f>IF($M$219="32 mm",'Datablad 3'!C142,IF($M$219="50 mm",'Datablad 3'!C143,IF($M$219="90 mm",'Datablad 3'!C144,IF($M$219="110 mm",'Datablad 3'!C145,IF($M$219="250 mm",'Datablad 3'!C146,0)))))</f>
        <v>0</v>
      </c>
      <c r="W219" s="6">
        <f>IF($M$219="32 mm",'Datablad 3'!D142,IF($M$219="50 mm",'Datablad 3'!D143,IF($M$219="90 mm",'Datablad 3'!D144,IF($M$219="110 mm",'Datablad 3'!D145,IF($M$219="250 mm",'Datablad 3'!D146,0)))))</f>
        <v>0</v>
      </c>
      <c r="X219" s="35">
        <f>IF($M$219="32 mm",'Datablad 3'!E142,IF($M$219="50 mm",'Datablad 3'!E143,IF($M$219="90 mm",'Datablad 3'!E144,IF($M$219="110 mm",'Datablad 3'!E145,IF($M$219="250 mm",'Datablad 3'!E146,0)))))</f>
        <v>0</v>
      </c>
      <c r="Y219" s="6">
        <f>IF($K$219="PVC",'Datablad 1'!B45,IF($K$219="HDPE",'Datablad 1'!B46,IF($K$219="LDPE",'Datablad 1'!B47,IF($K$219="RVS",'Datablad 1'!D52,0))))</f>
        <v>0</v>
      </c>
      <c r="Z219" s="6">
        <f>Y219</f>
        <v>0</v>
      </c>
      <c r="AA219" s="35">
        <f>IF($K$219="PVC",'Datablad 1'!C45,IF($K$219="HDPE",'Datablad 1'!C46,IF($K$219="LDPE",'Datablad 1'!C47,IF($K$219="RVS",'Datablad 1'!E52,0))))</f>
        <v>0</v>
      </c>
      <c r="AB219" s="91">
        <f>IF($K$219="PVC",'Datablad 3'!C137,IF($K$219="HDPE",'Datablad 3'!C138,IF($K$219="LDPE",'Datablad 3'!C139,IF($K$219="RVS",'Datablad 3'!C140,0))))</f>
        <v>0</v>
      </c>
      <c r="AC219" s="91">
        <f>IF($K$219="PVC",'Datablad 3'!D137,IF($K$219="HDPE",'Datablad 3'!D138,IF($K$219="LDPE",'Datablad 3'!D139,IF($K$219="RVS",'Datablad 3'!D140,0))))</f>
        <v>0</v>
      </c>
      <c r="AD219" s="108">
        <f>IF($K$219="PVC",'Datablad 3'!E137,IF($K$219="HDPE",'Datablad 3'!E138,IF($K$219="LDPE",'Datablad 3'!E139,IF($K$219="RVS",'Datablad 3'!E140,0))))</f>
        <v>0</v>
      </c>
      <c r="AE219" s="93">
        <f>IF($O$219="Avegaarboren",'Datablad 3'!C127,IF($O$219="Geoprobe",'Datablad 3'!C128,IF($O$219="Pulsen",'Datablad 3'!C129,IF($O$219="Sonic drilling",'Datablad 3'!C130,0))))</f>
        <v>0</v>
      </c>
      <c r="AF219" s="93">
        <f>IF($O$219="Avegaarboren",'Datablad 3'!D127,IF($O$219="Geoprobe",'Datablad 3'!D128,IF($O$219="Pulsen",'Datablad 3'!D129,IF($O$219="Sonic drilling",'Datablad 3'!D130,0))))</f>
        <v>0</v>
      </c>
      <c r="AG219" s="95">
        <f>IF($O$219="Avegaarboren",'Datablad 3'!E127,IF($O$219="Geoprobe",'Datablad 3'!E128,IF($O$219="Pulsen",'Datablad 3'!E129,IF($O$219="Sonic drilling",'Datablad 3'!E130,0))))</f>
        <v>0</v>
      </c>
      <c r="AH219" s="91">
        <f>'Datablad 1'!B2+'Datablad 1'!B11</f>
        <v>3.1357</v>
      </c>
      <c r="AI219" s="91">
        <f>AH219</f>
        <v>3.1357</v>
      </c>
      <c r="AJ219" s="11" t="s">
        <v>22</v>
      </c>
    </row>
    <row r="220" spans="1:33" ht="12.75">
      <c r="A220" s="6" t="s">
        <v>463</v>
      </c>
      <c r="B220" s="6" t="s">
        <v>659</v>
      </c>
      <c r="C220" s="291">
        <f>(((PI()*POWER((1.25*2.54)/2,2)*($G$220-$K$220)*V220)/1000)*Y220*$I$220)+(((PI()*POWER((2*2.54)/2,2)*($K$220)*V220)/1000)*Y220*$I$220)+(IF($Q$220="Gestandaardiseerde berekening",$G$220*$I$220*'Datablad 3'!C131*AE220,$G$220*$I$220*AB220*AE220))</f>
        <v>0</v>
      </c>
      <c r="D220" s="291">
        <f>(((PI()*POWER((1.25*2.54)/2,2)*($G$220-$K$220)*W220)/1000)*Z220*$I$220)+(((PI()*POWER((2*2.54)/2,2)*($K$220)*W220)/1000)*Z220*$I$220)+(IF($Q$220="Gestandaardiseerde berekening",$G$220*$I$220*'Datablad 3'!D131*AF220,$G$220*$I$220*AC220*AF220))</f>
        <v>0</v>
      </c>
      <c r="E220" s="7" t="s">
        <v>427</v>
      </c>
      <c r="G220" s="6">
        <f>Invoerscherm!E732</f>
        <v>0</v>
      </c>
      <c r="H220" s="35" t="str">
        <f>Invoerscherm!F732</f>
        <v>m -mv</v>
      </c>
      <c r="I220" s="6">
        <f>Invoerscherm!G732</f>
        <v>0</v>
      </c>
      <c r="J220" s="35" t="str">
        <f>Invoerscherm!H732</f>
        <v>stuks</v>
      </c>
      <c r="K220" s="6">
        <f>Invoerscherm!I732</f>
        <v>0</v>
      </c>
      <c r="L220" s="35" t="str">
        <f>Invoerscherm!J732</f>
        <v>m</v>
      </c>
      <c r="O220" s="82" t="str">
        <f>Invoerscherm!O732</f>
        <v>&lt;&lt; maak keuze &gt;&gt;</v>
      </c>
      <c r="P220" s="11" t="s">
        <v>477</v>
      </c>
      <c r="Q220" s="110" t="str">
        <f>Invoerscherm!C718</f>
        <v>&lt;&lt; maak keuze &gt;&gt;</v>
      </c>
      <c r="R220" s="11" t="s">
        <v>505</v>
      </c>
      <c r="S220" s="48"/>
      <c r="T220" s="11"/>
      <c r="V220" s="6">
        <f>'Datablad 1'!D52</f>
        <v>7.8</v>
      </c>
      <c r="W220" s="6">
        <f>V220</f>
        <v>7.8</v>
      </c>
      <c r="X220" s="35" t="str">
        <f>'Datablad 1'!E52</f>
        <v>g/cm3</v>
      </c>
      <c r="Y220" s="6">
        <f>'Datablad 3'!C140</f>
        <v>2.865012</v>
      </c>
      <c r="Z220" s="6">
        <f>'Datablad 3'!D140</f>
        <v>2.865012</v>
      </c>
      <c r="AA220" s="35" t="str">
        <f>'Datablad 3'!E140</f>
        <v>kg CO2 / kg RVS</v>
      </c>
      <c r="AB220" s="93">
        <f>IF($O$220="Avegaarboren",'Datablad 3'!C127,IF($O$220="Geoprobe",'Datablad 3'!C128,IF($O$220="Pulsen",'Datablad 3'!C129,IF($O$220="Sonic drilling",'Datablad 3'!C130,0))))</f>
        <v>0</v>
      </c>
      <c r="AC220" s="93">
        <f>IF($O$220="Avegaarboren",'Datablad 3'!D127,IF($O$220="Geoprobe",'Datablad 3'!D128,IF($O$220="Pulsen",'Datablad 3'!D129,IF($O$220="Sonic drilling",'Datablad 3'!D130,0))))</f>
        <v>0</v>
      </c>
      <c r="AD220" s="95">
        <f>IF($O$220="Avegaarboren",'Datablad 3'!E127,IF($O$220="Geoprobe",'Datablad 3'!E128,IF($O$220="Pulsen",'Datablad 3'!E129,IF($O$220="Sonic drilling",'Datablad 3'!E130,0))))</f>
        <v>0</v>
      </c>
      <c r="AE220" s="91">
        <f>'Datablad 1'!B2+'Datablad 1'!B11</f>
        <v>3.1357</v>
      </c>
      <c r="AF220" s="91">
        <f aca="true" t="shared" si="17" ref="AF220:AF227">AE220</f>
        <v>3.1357</v>
      </c>
      <c r="AG220" s="11" t="s">
        <v>22</v>
      </c>
    </row>
    <row r="221" spans="1:33" ht="12.75">
      <c r="A221" s="6" t="s">
        <v>463</v>
      </c>
      <c r="B221" s="6" t="s">
        <v>660</v>
      </c>
      <c r="C221" s="291">
        <f>(((PI()*POWER((1.25*2.54)/2,2)*($G$221-$K$221)*V221)/1000)*Y221*$I$221)+(((PI()*POWER((2*2.54)/2,2)*($K$221)*V221)/1000)*Y221*$I$221)+(IF($Q$221="Gestandaardiseerde berekening",$G$221*$I$221*'Datablad 3'!C131*AE221,$G$221*$I$221*AB221*AE221))</f>
        <v>0</v>
      </c>
      <c r="D221" s="291">
        <f>(((PI()*POWER((1.25*2.54)/2,2)*($G$221-$K$221)*W221)/1000)*Z221*$I$221)+(((PI()*POWER((2*2.54)/2,2)*($K$221)*W221)/1000)*Z221*$I$221)+(IF($Q$221="Gestandaardiseerde berekening",$G$221*$I$221*'Datablad 3'!D131*AF221,$G$221*$I$221*AC221*AF221))</f>
        <v>0</v>
      </c>
      <c r="E221" s="7" t="s">
        <v>427</v>
      </c>
      <c r="G221" s="6">
        <f>Invoerscherm!E734</f>
        <v>0</v>
      </c>
      <c r="H221" s="35" t="str">
        <f>Invoerscherm!F734</f>
        <v>m -mv</v>
      </c>
      <c r="I221" s="6">
        <f>Invoerscherm!G734</f>
        <v>0</v>
      </c>
      <c r="J221" s="35" t="str">
        <f>Invoerscherm!H734</f>
        <v>stuks</v>
      </c>
      <c r="K221" s="6">
        <f>Invoerscherm!I734</f>
        <v>0</v>
      </c>
      <c r="L221" s="35" t="str">
        <f>Invoerscherm!J734</f>
        <v>m</v>
      </c>
      <c r="O221" s="82" t="str">
        <f>Invoerscherm!O734</f>
        <v>&lt;&lt; maak keuze &gt;&gt;</v>
      </c>
      <c r="P221" s="11" t="s">
        <v>477</v>
      </c>
      <c r="Q221" s="110" t="str">
        <f>Invoerscherm!C718</f>
        <v>&lt;&lt; maak keuze &gt;&gt;</v>
      </c>
      <c r="R221" s="11" t="s">
        <v>505</v>
      </c>
      <c r="S221" s="48"/>
      <c r="T221" s="11"/>
      <c r="V221" s="6">
        <f>'Datablad 1'!D52</f>
        <v>7.8</v>
      </c>
      <c r="W221" s="6">
        <f>V221</f>
        <v>7.8</v>
      </c>
      <c r="X221" s="35" t="str">
        <f>'Datablad 1'!E52</f>
        <v>g/cm3</v>
      </c>
      <c r="Y221" s="6">
        <f>'Datablad 3'!C140</f>
        <v>2.865012</v>
      </c>
      <c r="Z221" s="6">
        <f>'Datablad 3'!D140</f>
        <v>2.865012</v>
      </c>
      <c r="AA221" s="35" t="str">
        <f>'Datablad 3'!E140</f>
        <v>kg CO2 / kg RVS</v>
      </c>
      <c r="AB221" s="93">
        <f>IF($O$221="Avegaarboren",'Datablad 3'!C127,IF($O$221="Geoprobe",'Datablad 3'!C128,IF($O$221="Pulsen",'Datablad 3'!C129,IF($O$221="Sonic drilling",'Datablad 3'!C130,0))))</f>
        <v>0</v>
      </c>
      <c r="AC221" s="93">
        <f>IF($O$221="Avegaarboren",'Datablad 3'!D127,IF($O$221="Geoprobe",'Datablad 3'!D128,IF($O$221="Pulsen",'Datablad 3'!D129,IF($O$221="Sonic drilling",'Datablad 3'!D130,0))))</f>
        <v>0</v>
      </c>
      <c r="AD221" s="95">
        <f>IF($O$221="Avegaarboren",'Datablad 3'!E127,IF($O$221="Geoprobe",'Datablad 3'!E128,IF($O$221="Pulsen",'Datablad 3'!E129,IF($O$221="Sonic drilling",'Datablad 3'!E130,0))))</f>
        <v>0</v>
      </c>
      <c r="AE221" s="91">
        <f>'Datablad 1'!B2+'Datablad 1'!B11</f>
        <v>3.1357</v>
      </c>
      <c r="AF221" s="91">
        <f t="shared" si="17"/>
        <v>3.1357</v>
      </c>
      <c r="AG221" s="11" t="s">
        <v>22</v>
      </c>
    </row>
    <row r="222" spans="1:33" ht="12.75">
      <c r="A222" s="6" t="s">
        <v>463</v>
      </c>
      <c r="B222" s="6" t="s">
        <v>661</v>
      </c>
      <c r="C222" s="291">
        <f>(((PI()*POWER((1.25*2.54)/2,2)*($G$222-$K$222)*V222)/1000)*Y222*$I$222)+(((PI()*POWER((2*2.54)/2,2)*($K$222)*V222)/1000)*Y222*$I$222)+(IF($Q$222="Gestandaardiseerde berekening",$G$222*$I$222*'Datablad 3'!C131*AE222,$G$222*$I$222*AB222*AE222))</f>
        <v>0</v>
      </c>
      <c r="D222" s="291">
        <f>(((PI()*POWER((1.25*2.54)/2,2)*($G$222-$K$222)*W222)/1000)*Z222*$I$222)+(((PI()*POWER((2*2.54)/2,2)*($K$222)*W222)/1000)*Z222*$I$222)+(IF($Q$222="Gestandaardiseerde berekening",$G$222*$I$222*'Datablad 3'!D131*AF222,$G$222*$I$222*AC222*AF222))</f>
        <v>0</v>
      </c>
      <c r="E222" s="7" t="s">
        <v>427</v>
      </c>
      <c r="G222" s="6">
        <f>Invoerscherm!E736</f>
        <v>0</v>
      </c>
      <c r="H222" s="35" t="str">
        <f>Invoerscherm!F736</f>
        <v>m -mv</v>
      </c>
      <c r="I222" s="6">
        <f>Invoerscherm!G736</f>
        <v>0</v>
      </c>
      <c r="J222" s="35" t="str">
        <f>Invoerscherm!H736</f>
        <v>stuks</v>
      </c>
      <c r="K222" s="6">
        <f>Invoerscherm!I736</f>
        <v>0</v>
      </c>
      <c r="L222" s="35" t="str">
        <f>Invoerscherm!J736</f>
        <v>m</v>
      </c>
      <c r="O222" s="82" t="str">
        <f>Invoerscherm!O736</f>
        <v>&lt;&lt; maak keuze &gt;&gt;</v>
      </c>
      <c r="P222" s="11" t="s">
        <v>477</v>
      </c>
      <c r="Q222" s="110" t="str">
        <f>Invoerscherm!C718</f>
        <v>&lt;&lt; maak keuze &gt;&gt;</v>
      </c>
      <c r="R222" s="11" t="s">
        <v>505</v>
      </c>
      <c r="S222" s="48"/>
      <c r="T222" s="11"/>
      <c r="V222" s="6">
        <f>'Datablad 1'!D52</f>
        <v>7.8</v>
      </c>
      <c r="W222" s="6">
        <f>V222</f>
        <v>7.8</v>
      </c>
      <c r="X222" s="35" t="str">
        <f>'Datablad 1'!E52</f>
        <v>g/cm3</v>
      </c>
      <c r="Y222" s="6">
        <f>'Datablad 3'!C140</f>
        <v>2.865012</v>
      </c>
      <c r="Z222" s="6">
        <f>'Datablad 3'!D140</f>
        <v>2.865012</v>
      </c>
      <c r="AA222" s="35" t="str">
        <f>'Datablad 3'!E140</f>
        <v>kg CO2 / kg RVS</v>
      </c>
      <c r="AB222" s="93">
        <f>IF($O$222="Avegaarboren",'Datablad 3'!C127,IF($O$222="Geoprobe",'Datablad 3'!C128,IF($O$222="Pulsen",'Datablad 3'!C129,IF($O$222="Sonic drilling",'Datablad 3'!C130,0))))</f>
        <v>0</v>
      </c>
      <c r="AC222" s="93">
        <f>IF($O$222="Avegaarboren",'Datablad 3'!D127,IF($O$222="Geoprobe",'Datablad 3'!D128,IF($O$222="Pulsen",'Datablad 3'!D129,IF($O$222="Sonic drilling",'Datablad 3'!D130,0))))</f>
        <v>0</v>
      </c>
      <c r="AD222" s="95">
        <f>IF($O$222="Avegaarboren",'Datablad 3'!E127,IF($O$222="Geoprobe",'Datablad 3'!E128,IF($O$222="Pulsen",'Datablad 3'!E129,IF($O$222="Sonic drilling",'Datablad 3'!E130,0))))</f>
        <v>0</v>
      </c>
      <c r="AE222" s="91">
        <f>'Datablad 1'!B2+'Datablad 1'!B11</f>
        <v>3.1357</v>
      </c>
      <c r="AF222" s="91">
        <f t="shared" si="17"/>
        <v>3.1357</v>
      </c>
      <c r="AG222" s="11" t="s">
        <v>22</v>
      </c>
    </row>
    <row r="223" spans="1:33" ht="12.75">
      <c r="A223" s="6" t="s">
        <v>463</v>
      </c>
      <c r="B223" s="6" t="s">
        <v>662</v>
      </c>
      <c r="C223" s="291">
        <f>(((PI()*POWER((1.25*2.54)/2,2)*($G$223-$K$223)*V223)/1000)*Y223*$I$223)+(((PI()*POWER((2*2.54)/2,2)*($K$223)*V223)/1000)*Y223*$I$223)+(IF($Q$223="Gestandaardiseerde berekening",$G$223*$I$223*'Datablad 3'!C132*AE223,$G$223*$I$223*AB223*AE223))</f>
        <v>0</v>
      </c>
      <c r="D223" s="291">
        <f>(((PI()*POWER((1.25*2.54)/2,2)*($G$223-$K$223)*W223)/1000)*Z223*$I$223)+(((PI()*POWER((2*2.54)/2,2)*($K$223)*W223)/1000)*Z223*$I$223)+(IF($Q$223="Gestandaardiseerde berekening",$G$223*$I$223*'Datablad 3'!D132*AF223,$G$223*$I$223*AC223*AF223))</f>
        <v>0</v>
      </c>
      <c r="E223" s="7" t="s">
        <v>427</v>
      </c>
      <c r="G223" s="6">
        <f>Invoerscherm!E738</f>
        <v>0</v>
      </c>
      <c r="H223" s="35" t="str">
        <f>Invoerscherm!F738</f>
        <v>m -mv</v>
      </c>
      <c r="I223" s="6">
        <f>Invoerscherm!G738</f>
        <v>0</v>
      </c>
      <c r="J223" s="35" t="str">
        <f>Invoerscherm!H738</f>
        <v>stuks</v>
      </c>
      <c r="K223" s="6">
        <f>Invoerscherm!I738</f>
        <v>0</v>
      </c>
      <c r="L223" s="35" t="str">
        <f>Invoerscherm!J738</f>
        <v>m</v>
      </c>
      <c r="O223" s="82" t="str">
        <f>Invoerscherm!O738</f>
        <v>&lt;&lt; maak keuze &gt;&gt;</v>
      </c>
      <c r="P223" s="11" t="s">
        <v>477</v>
      </c>
      <c r="Q223" s="110" t="str">
        <f>Invoerscherm!C718</f>
        <v>&lt;&lt; maak keuze &gt;&gt;</v>
      </c>
      <c r="R223" s="11" t="s">
        <v>505</v>
      </c>
      <c r="S223" s="48"/>
      <c r="T223" s="11"/>
      <c r="V223" s="6">
        <f>'Datablad 1'!D52</f>
        <v>7.8</v>
      </c>
      <c r="W223" s="6">
        <f>V223</f>
        <v>7.8</v>
      </c>
      <c r="X223" s="35" t="str">
        <f>'Datablad 1'!E52</f>
        <v>g/cm3</v>
      </c>
      <c r="Y223" s="6">
        <f>'Datablad 3'!C140</f>
        <v>2.865012</v>
      </c>
      <c r="Z223" s="6">
        <f>'Datablad 3'!D140</f>
        <v>2.865012</v>
      </c>
      <c r="AA223" s="35" t="str">
        <f>'Datablad 3'!E140</f>
        <v>kg CO2 / kg RVS</v>
      </c>
      <c r="AB223" s="93">
        <f>IF($O$223="Avegaarboren",'Datablad 3'!C127,IF($O$223="Geoprobe",'Datablad 3'!C128,IF($O$223="Pulsen",'Datablad 3'!C129,IF($O$223="Sonic drilling",'Datablad 3'!C130,0))))</f>
        <v>0</v>
      </c>
      <c r="AC223" s="93">
        <f>IF($O$223="Avegaarboren",'Datablad 3'!D127,IF($O$223="Geoprobe",'Datablad 3'!D128,IF($O$223="Pulsen",'Datablad 3'!D129,IF($O$223="Sonic drilling",'Datablad 3'!D130,0))))</f>
        <v>0</v>
      </c>
      <c r="AD223" s="95">
        <f>IF($O$223="Avegaarboren",'Datablad 3'!E127,IF($O$223="Geoprobe",'Datablad 3'!E128,IF($O$223="Pulsen",'Datablad 3'!E129,IF($O$223="Sonic drilling",'Datablad 3'!E130,0))))</f>
        <v>0</v>
      </c>
      <c r="AE223" s="91">
        <f>'Datablad 1'!B2+'Datablad 1'!B11</f>
        <v>3.1357</v>
      </c>
      <c r="AF223" s="91">
        <f t="shared" si="17"/>
        <v>3.1357</v>
      </c>
      <c r="AG223" s="11" t="s">
        <v>22</v>
      </c>
    </row>
    <row r="224" spans="1:33" ht="12.75">
      <c r="A224" s="6" t="s">
        <v>463</v>
      </c>
      <c r="B224" s="6" t="s">
        <v>663</v>
      </c>
      <c r="C224" s="291">
        <f>IF($Q$224="Gestandaardiseerde berekening",$G$224*$I$224*'Datablad 3'!C131*AE224,$G$224*$I$224*AB224*AE224)</f>
        <v>0</v>
      </c>
      <c r="D224" s="291">
        <f>IF($Q$224="Gestandaardiseerde berekening",$G$224*$I$224*'Datablad 3'!D131*AF224,$G$224*$I$224*AC224*AF224)</f>
        <v>0</v>
      </c>
      <c r="E224" s="7" t="s">
        <v>427</v>
      </c>
      <c r="G224" s="6">
        <f>Invoerscherm!E742</f>
        <v>0</v>
      </c>
      <c r="H224" s="35" t="str">
        <f>Invoerscherm!F742</f>
        <v>m -mv</v>
      </c>
      <c r="I224" s="6">
        <f>Invoerscherm!G742</f>
        <v>0</v>
      </c>
      <c r="J224" s="35" t="str">
        <f>Invoerscherm!H742</f>
        <v>stuks</v>
      </c>
      <c r="O224" s="82" t="str">
        <f>Invoerscherm!O742</f>
        <v>&lt;&lt; maak keuze &gt;&gt;</v>
      </c>
      <c r="P224" s="11" t="s">
        <v>477</v>
      </c>
      <c r="Q224" s="110" t="str">
        <f>Invoerscherm!C718</f>
        <v>&lt;&lt; maak keuze &gt;&gt;</v>
      </c>
      <c r="R224" s="11" t="s">
        <v>505</v>
      </c>
      <c r="S224" s="48"/>
      <c r="T224" s="11"/>
      <c r="AB224" s="93">
        <f>IF($O$224="Avegaarboren",'Datablad 3'!C127,IF($O$224="Geoprobe",'Datablad 3'!C128,IF($O$224="Pulsen",'Datablad 3'!C129,IF($O$224="Sonic drilling",'Datablad 3'!C130,0))))</f>
        <v>0</v>
      </c>
      <c r="AC224" s="93">
        <f>IF($O$224="Avegaarboren",'Datablad 3'!D127,IF($O$224="Geoprobe",'Datablad 3'!D128,IF($O$224="Pulsen",'Datablad 3'!D129,IF($O$224="Sonic drilling",'Datablad 3'!D130,0))))</f>
        <v>0</v>
      </c>
      <c r="AD224" s="95">
        <f>IF($O$224="Avegaarboren",'Datablad 3'!E127,IF($O$224="Geoprobe",'Datablad 3'!E128,IF($O$224="Pulsen",'Datablad 3'!E129,IF($O$224="Sonic drilling",'Datablad 3'!E130,0))))</f>
        <v>0</v>
      </c>
      <c r="AE224" s="91">
        <f>'Datablad 1'!B2+'Datablad 1'!B11</f>
        <v>3.1357</v>
      </c>
      <c r="AF224" s="91">
        <f t="shared" si="17"/>
        <v>3.1357</v>
      </c>
      <c r="AG224" s="11" t="s">
        <v>22</v>
      </c>
    </row>
    <row r="225" spans="1:33" ht="12.75">
      <c r="A225" s="6" t="s">
        <v>463</v>
      </c>
      <c r="B225" s="6" t="s">
        <v>664</v>
      </c>
      <c r="C225" s="291">
        <f>IF($Q$225="Gestandaardiseerde berekening",$G$225*$I$225*'Datablad 3'!C131*AE225,$G$225*$I$225*AB225*AE225)</f>
        <v>0</v>
      </c>
      <c r="D225" s="291">
        <f>IF($Q$225="Gestandaardiseerde berekening",$G$225*$I$225*'Datablad 3'!D131*AF225,$G$225*$I$225*AC225*AF225)</f>
        <v>0</v>
      </c>
      <c r="E225" s="7" t="s">
        <v>427</v>
      </c>
      <c r="G225" s="6">
        <f>Invoerscherm!E744</f>
        <v>0</v>
      </c>
      <c r="H225" s="35" t="str">
        <f>Invoerscherm!F744</f>
        <v>m -mv</v>
      </c>
      <c r="I225" s="6">
        <f>Invoerscherm!G744</f>
        <v>0</v>
      </c>
      <c r="J225" s="35" t="str">
        <f>Invoerscherm!H744</f>
        <v>stuks</v>
      </c>
      <c r="O225" s="82" t="str">
        <f>Invoerscherm!O744</f>
        <v>&lt;&lt; maak keuze &gt;&gt;</v>
      </c>
      <c r="P225" s="11" t="s">
        <v>477</v>
      </c>
      <c r="Q225" s="110" t="str">
        <f>Invoerscherm!C718</f>
        <v>&lt;&lt; maak keuze &gt;&gt;</v>
      </c>
      <c r="R225" s="11" t="s">
        <v>505</v>
      </c>
      <c r="S225" s="48"/>
      <c r="T225" s="11"/>
      <c r="AB225" s="93">
        <f>IF($O$225="Avegaarboren",'Datablad 3'!C127,IF($O$225="Geoprobe",'Datablad 3'!C128,IF($O$225="Pulsen",'Datablad 3'!C129,IF($O$225="Sonic drilling",'Datablad 3'!C130,0))))</f>
        <v>0</v>
      </c>
      <c r="AC225" s="93">
        <f>IF($O$225="Avegaarboren",'Datablad 3'!D127,IF($O$225="Geoprobe",'Datablad 3'!D128,IF($O$225="Pulsen",'Datablad 3'!D129,IF($O$225="Sonic drilling",'Datablad 3'!D130,0))))</f>
        <v>0</v>
      </c>
      <c r="AD225" s="95">
        <f>IF($O$225="Avegaarboren",'Datablad 3'!E127,IF($O$225="Geoprobe",'Datablad 3'!E128,IF($O$225="Pulsen",'Datablad 3'!E129,IF($O$225="Sonic drilling",'Datablad 3'!E130,0))))</f>
        <v>0</v>
      </c>
      <c r="AE225" s="91">
        <f>'Datablad 1'!B2+'Datablad 1'!B11</f>
        <v>3.1357</v>
      </c>
      <c r="AF225" s="91">
        <f t="shared" si="17"/>
        <v>3.1357</v>
      </c>
      <c r="AG225" s="11" t="s">
        <v>22</v>
      </c>
    </row>
    <row r="226" spans="1:33" ht="12.75">
      <c r="A226" s="6" t="s">
        <v>463</v>
      </c>
      <c r="B226" s="6" t="s">
        <v>665</v>
      </c>
      <c r="C226" s="291">
        <f>IF($Q$226="Gestandaardiseerde berekening",$G$226*$I$226*'Datablad 3'!C131*AE226,$G$226*$I$226*AB226*AE226)</f>
        <v>0</v>
      </c>
      <c r="D226" s="291">
        <f>IF($Q$226="Gestandaardiseerde berekening",$G$226*$I$226*'Datablad 3'!D131*AF226,$G$226*$I$226*AC226*AF226)</f>
        <v>0</v>
      </c>
      <c r="E226" s="7" t="s">
        <v>427</v>
      </c>
      <c r="G226" s="6">
        <f>Invoerscherm!E746</f>
        <v>0</v>
      </c>
      <c r="H226" s="35" t="str">
        <f>Invoerscherm!F746</f>
        <v>m -mv</v>
      </c>
      <c r="I226" s="6">
        <f>Invoerscherm!G746</f>
        <v>0</v>
      </c>
      <c r="J226" s="35" t="str">
        <f>Invoerscherm!H746</f>
        <v>stuks</v>
      </c>
      <c r="O226" s="82" t="str">
        <f>Invoerscherm!O746</f>
        <v>&lt;&lt; maak keuze &gt;&gt;</v>
      </c>
      <c r="P226" s="11" t="s">
        <v>477</v>
      </c>
      <c r="Q226" s="110" t="str">
        <f>Invoerscherm!C718</f>
        <v>&lt;&lt; maak keuze &gt;&gt;</v>
      </c>
      <c r="R226" s="11" t="s">
        <v>505</v>
      </c>
      <c r="S226" s="48"/>
      <c r="T226" s="11"/>
      <c r="AB226" s="93">
        <f>IF($O$226="Avegaarboren",'Datablad 3'!C127,IF($O$226="Geoprobe",'Datablad 3'!C128,IF($O$226="Pulsen",'Datablad 3'!C129,IF($O$226="Sonic drilling",'Datablad 3'!C130,0))))</f>
        <v>0</v>
      </c>
      <c r="AC226" s="93">
        <f>IF($O$226="Avegaarboren",'Datablad 3'!D127,IF($O$226="Geoprobe",'Datablad 3'!D128,IF($O$226="Pulsen",'Datablad 3'!D129,IF($O$226="Sonic drilling",'Datablad 3'!D130,0))))</f>
        <v>0</v>
      </c>
      <c r="AD226" s="95">
        <f>IF($O$226="Avegaarboren",'Datablad 3'!E127,IF($O$226="Geoprobe",'Datablad 3'!E128,IF($O$226="Pulsen",'Datablad 3'!E129,IF($O$226="Sonic drilling",'Datablad 3'!E130,0))))</f>
        <v>0</v>
      </c>
      <c r="AE226" s="91">
        <f>'Datablad 1'!B2+'Datablad 1'!B11</f>
        <v>3.1357</v>
      </c>
      <c r="AF226" s="91">
        <f t="shared" si="17"/>
        <v>3.1357</v>
      </c>
      <c r="AG226" s="11" t="s">
        <v>22</v>
      </c>
    </row>
    <row r="227" spans="1:33" ht="12.75">
      <c r="A227" s="6" t="s">
        <v>463</v>
      </c>
      <c r="B227" s="6" t="s">
        <v>666</v>
      </c>
      <c r="C227" s="291">
        <f>IF($Q$227="Gestandaardiseerde berekening",$G$227*$I$227*'Datablad 3'!C131*AE227,$G$227*$I$227*AB227*AE227)</f>
        <v>0</v>
      </c>
      <c r="D227" s="291">
        <f>IF($Q$227="Gestandaardiseerde berekening",$G$227*$I$227*'Datablad 3'!D131*AF227,$G$227*$I$227*AC227*AF227)</f>
        <v>0</v>
      </c>
      <c r="E227" s="7" t="s">
        <v>427</v>
      </c>
      <c r="G227" s="6">
        <f>Invoerscherm!E748</f>
        <v>0</v>
      </c>
      <c r="H227" s="35" t="str">
        <f>Invoerscherm!F748</f>
        <v>m -mv</v>
      </c>
      <c r="I227" s="6">
        <f>Invoerscherm!G748</f>
        <v>0</v>
      </c>
      <c r="J227" s="35" t="str">
        <f>Invoerscherm!H748</f>
        <v>stuks</v>
      </c>
      <c r="O227" s="82" t="str">
        <f>Invoerscherm!O748</f>
        <v>&lt;&lt; maak keuze &gt;&gt;</v>
      </c>
      <c r="P227" s="11" t="s">
        <v>477</v>
      </c>
      <c r="Q227" s="110" t="str">
        <f>Invoerscherm!C718</f>
        <v>&lt;&lt; maak keuze &gt;&gt;</v>
      </c>
      <c r="R227" s="11" t="s">
        <v>505</v>
      </c>
      <c r="S227" s="48"/>
      <c r="T227" s="11"/>
      <c r="AB227" s="93">
        <f>IF($O$227="Avegaarboren",'Datablad 3'!C127,IF($O$227="Geoprobe",'Datablad 3'!C128,IF($O$227="Pulsen",'Datablad 3'!C129,IF($O$227="Sonic drilling",'Datablad 3'!C130,0))))</f>
        <v>0</v>
      </c>
      <c r="AC227" s="93">
        <f>IF($O$227="Avegaarboren",'Datablad 3'!D127,IF($O$227="Geoprobe",'Datablad 3'!D128,IF($O$227="Pulsen",'Datablad 3'!D129,IF($O$227="Sonic drilling",'Datablad 3'!D130,0))))</f>
        <v>0</v>
      </c>
      <c r="AD227" s="95">
        <f>IF($O$227="Avegaarboren",'Datablad 3'!E127,IF($O$227="Geoprobe",'Datablad 3'!E128,IF($O$227="Pulsen",'Datablad 3'!E129,IF($O$227="Sonic drilling",'Datablad 3'!E130,0))))</f>
        <v>0</v>
      </c>
      <c r="AE227" s="91">
        <f>'Datablad 1'!B2+'Datablad 1'!B11</f>
        <v>3.1357</v>
      </c>
      <c r="AF227" s="91">
        <f t="shared" si="17"/>
        <v>3.1357</v>
      </c>
      <c r="AG227" s="11" t="s">
        <v>22</v>
      </c>
    </row>
    <row r="228" spans="1:36" ht="12.75">
      <c r="A228" s="6" t="s">
        <v>463</v>
      </c>
      <c r="B228" s="6" t="s">
        <v>638</v>
      </c>
      <c r="C228" s="287">
        <f>(((((((PI()*POWER($S$228/10,2))-(PI()*POWER(($S$228-V228)/10,2)))*($G$228*100))*Y228)/100)*AB228)*$I$228)+(IF($Q$228="Gestandaardiseerde berekening",$G$228*$I$228*'Datablad 3'!C300*AH228,$G$228*$I$228*AE228*AH228))</f>
        <v>0</v>
      </c>
      <c r="D228" s="287">
        <f>(((((((PI()*POWER($S$228/10,2))-(PI()*POWER(($S$228-W228)/10,2)))*($G$228*100))*Z228)/100)*AC228)*$I$228)+(IF($Q$228="Gestandaardiseerde berekening",$G$228*$I$228*'Datablad 3'!D300*AI228,$G$228*$I$228*AF228*AI228))</f>
        <v>0</v>
      </c>
      <c r="E228" s="7" t="s">
        <v>427</v>
      </c>
      <c r="G228" s="6">
        <f>Invoerscherm!E752</f>
        <v>0</v>
      </c>
      <c r="H228" s="35" t="str">
        <f>Invoerscherm!F752</f>
        <v>m</v>
      </c>
      <c r="I228" s="6">
        <f>Invoerscherm!G752</f>
        <v>0</v>
      </c>
      <c r="J228" s="35" t="str">
        <f>Invoerscherm!H752</f>
        <v>stuks</v>
      </c>
      <c r="K228" s="82" t="str">
        <f>Invoerscherm!I752</f>
        <v>&lt;&lt; maak keuze &gt;&gt;</v>
      </c>
      <c r="L228" s="11" t="s">
        <v>464</v>
      </c>
      <c r="M228" s="82" t="str">
        <f>Invoerscherm!L752</f>
        <v>&lt;&lt; maak keuze &gt;&gt;</v>
      </c>
      <c r="N228" s="11" t="s">
        <v>465</v>
      </c>
      <c r="O228" s="82" t="str">
        <f>Invoerscherm!O752</f>
        <v>&lt;&lt; maak keuze &gt;&gt;</v>
      </c>
      <c r="P228" s="11" t="s">
        <v>477</v>
      </c>
      <c r="Q228" s="110" t="str">
        <f>Invoerscherm!C718</f>
        <v>&lt;&lt; maak keuze &gt;&gt;</v>
      </c>
      <c r="R228" s="11" t="s">
        <v>505</v>
      </c>
      <c r="S228" s="48">
        <f aca="true" t="shared" si="18" ref="S228:S235">IF(M228="32 mm",32/2,IF(M228="50 mm",50/2,IF(M228="90 mm",90/2,IF(M228="110 mm",110/2,IF(M228="250 mm",250/2,0)))))</f>
        <v>0</v>
      </c>
      <c r="T228" s="35" t="s">
        <v>508</v>
      </c>
      <c r="V228" s="6">
        <f>IF($M$228="32 mm",'Datablad 3'!C142,IF($M$228="50 mm",'Datablad 3'!C143,IF($M$228="90 mm",'Datablad 3'!C144,IF($M$228="110 mm",'Datablad 3'!C145,IF($M$228="250 mm",'Datablad 3'!C146,0)))))</f>
        <v>0</v>
      </c>
      <c r="W228" s="6">
        <f>IF($M$228="32 mm",'Datablad 3'!D142,IF($M$228="50 mm",'Datablad 3'!D143,IF($M$228="90 mm",'Datablad 3'!D144,IF($M$228="110 mm",'Datablad 3'!D145,IF($M$228="250 mm",'Datablad 3'!D146,0)))))</f>
        <v>0</v>
      </c>
      <c r="X228" s="35">
        <f>IF($M$228="32 mm",'Datablad 3'!E142,IF($M$228="50 mm",'Datablad 3'!E143,IF($M$228="90 mm",'Datablad 3'!E144,IF($M$228="110 mm",'Datablad 3'!E145,IF($M$228="250 mm",'Datablad 3'!E146,0)))))</f>
        <v>0</v>
      </c>
      <c r="Y228" s="6">
        <f>IF($K$228="PVC",'Datablad 1'!B45,IF($K$228="HDPE",'Datablad 1'!B46,IF($K$228="LDPE",'Datablad 1'!B47,IF($K$228="RVS",'Datablad 1'!D52,0))))</f>
        <v>0</v>
      </c>
      <c r="Z228" s="6">
        <f aca="true" t="shared" si="19" ref="Z228:Z235">Y228</f>
        <v>0</v>
      </c>
      <c r="AA228" s="35">
        <f>IF($K$228="PVC",'Datablad 1'!C45,IF($K$228="HDPE",'Datablad 1'!C46,IF($K$228="LDPE",'Datablad 1'!C47,IF($K$228="RVS",'Datablad 1'!E52,0))))</f>
        <v>0</v>
      </c>
      <c r="AB228" s="91">
        <f>IF($K$228="PVC",'Datablad 3'!C137,IF($K$228="HDPE",'Datablad 3'!C138,IF($K$228="LDPE",'Datablad 3'!C139,IF($K$228="RVS",'Datablad 3'!C140,0))))</f>
        <v>0</v>
      </c>
      <c r="AC228" s="91">
        <f>IF($K$228="PVC",'Datablad 3'!D137,IF($K$228="HDPE",'Datablad 3'!D138,IF($K$228="LDPE",'Datablad 3'!D139,IF($K$228="RVS",'Datablad 3'!D140,0))))</f>
        <v>0</v>
      </c>
      <c r="AD228" s="108">
        <f>IF($K$228="PVC",'Datablad 3'!E137,IF($K$228="HDPE",'Datablad 3'!E138,IF($K$228="LDPE",'Datablad 3'!E139,IF($K$228="RVS",'Datablad 3'!E140,0))))</f>
        <v>0</v>
      </c>
      <c r="AE228" s="93">
        <f>IF($O$228="Avegaarboren",'Datablad 3'!C127,IF($O$228="Geoprobe",'Datablad 3'!C128,IF($O$228="Pulsen",'Datablad 3'!C129,IF($O$228="Sonic drilling",'Datablad 3'!C130,0))))</f>
        <v>0</v>
      </c>
      <c r="AF228" s="93">
        <f>IF($O$228="Avegaarboren",'Datablad 3'!D127,IF($O$228="Geoprobe",'Datablad 3'!D128,IF($O$228="Pulsen",'Datablad 3'!D129,IF($O$228="Sonic drilling",'Datablad 3'!D130,0))))</f>
        <v>0</v>
      </c>
      <c r="AG228" s="95">
        <f>IF($O$228="Avegaarboren",'Datablad 3'!E127,IF($O$228="Geoprobe",'Datablad 3'!E128,IF($O$228="Pulsen",'Datablad 3'!E129,IF($O$228="Sonic drilling",'Datablad 3'!E130,0))))</f>
        <v>0</v>
      </c>
      <c r="AH228" s="91">
        <f>'Datablad 1'!B2+'Datablad 1'!B11</f>
        <v>3.1357</v>
      </c>
      <c r="AI228" s="91">
        <f>AH228</f>
        <v>3.1357</v>
      </c>
      <c r="AJ228" s="11" t="s">
        <v>22</v>
      </c>
    </row>
    <row r="229" spans="1:36" ht="12.75">
      <c r="A229" s="6" t="s">
        <v>463</v>
      </c>
      <c r="B229" s="6" t="s">
        <v>639</v>
      </c>
      <c r="C229" s="287">
        <f>(((((((PI()*POWER($S$229/10,2))-(PI()*POWER(($S$229-V229)/10,2)))*($G$229*100))*Y229)/100)*AB229)*$I$229)+(IF($Q$229="Gestandaardiseerde berekening",$G$229*$I$229*'Datablad 3'!C301*AH229,$G$229*$I$229*AE229*AH229))</f>
        <v>0</v>
      </c>
      <c r="D229" s="287">
        <f>(((((((PI()*POWER($S$229/10,2))-(PI()*POWER(($S$229-W229)/10,2)))*($G$229*100))*Z229)/100)*AC229)*$I$229)+(IF($Q$229="Gestandaardiseerde berekening",$G$229*$I$229*'Datablad 3'!D301*AI229,$G$229*$I$229*AF229*AI229))</f>
        <v>0</v>
      </c>
      <c r="E229" s="7" t="s">
        <v>427</v>
      </c>
      <c r="G229" s="6">
        <f>Invoerscherm!E754</f>
        <v>0</v>
      </c>
      <c r="H229" s="35" t="str">
        <f>Invoerscherm!F754</f>
        <v>m</v>
      </c>
      <c r="I229" s="6">
        <f>Invoerscherm!G754</f>
        <v>0</v>
      </c>
      <c r="J229" s="35" t="str">
        <f>Invoerscherm!H754</f>
        <v>stuks</v>
      </c>
      <c r="K229" s="82" t="str">
        <f>Invoerscherm!I754</f>
        <v>&lt;&lt; maak keuze &gt;&gt;</v>
      </c>
      <c r="L229" s="11" t="s">
        <v>464</v>
      </c>
      <c r="M229" s="82" t="str">
        <f>Invoerscherm!L754</f>
        <v>&lt;&lt; maak keuze &gt;&gt;</v>
      </c>
      <c r="N229" s="11" t="s">
        <v>465</v>
      </c>
      <c r="O229" s="82" t="str">
        <f>Invoerscherm!O754</f>
        <v>&lt;&lt; maak keuze &gt;&gt;</v>
      </c>
      <c r="P229" s="11" t="s">
        <v>477</v>
      </c>
      <c r="Q229" s="110" t="str">
        <f>Invoerscherm!C718</f>
        <v>&lt;&lt; maak keuze &gt;&gt;</v>
      </c>
      <c r="R229" s="11" t="s">
        <v>505</v>
      </c>
      <c r="S229" s="48">
        <f t="shared" si="18"/>
        <v>0</v>
      </c>
      <c r="T229" s="35" t="s">
        <v>508</v>
      </c>
      <c r="V229" s="6">
        <f>IF($M$229="32 mm",'Datablad 3'!C142,IF($M$229="50 mm",'Datablad 3'!C143,IF($M$229="90 mm",'Datablad 3'!C144,IF($M$229="110 mm",'Datablad 3'!C145,IF($M$229="250 mm",'Datablad 3'!C146,0)))))</f>
        <v>0</v>
      </c>
      <c r="W229" s="6">
        <f>IF($M$229="32 mm",'Datablad 3'!D142,IF($M$229="50 mm",'Datablad 3'!D143,IF($M$229="90 mm",'Datablad 3'!D144,IF($M$229="110 mm",'Datablad 3'!D145,IF($M$229="250 mm",'Datablad 3'!D146,0)))))</f>
        <v>0</v>
      </c>
      <c r="X229" s="35">
        <f>IF($M$229="32 mm",'Datablad 3'!E142,IF($M$229="50 mm",'Datablad 3'!E143,IF($M$229="90 mm",'Datablad 3'!E144,IF($M$229="110 mm",'Datablad 3'!E145,IF($M$229="250 mm",'Datablad 3'!E146,0)))))</f>
        <v>0</v>
      </c>
      <c r="Y229" s="6">
        <f>IF($K$229="PVC",'Datablad 1'!B45,IF($K$229="HDPE",'Datablad 1'!B46,IF($K$229="LDPE",'Datablad 1'!B47,IF($K$229="RVS",'Datablad 1'!D52,0))))</f>
        <v>0</v>
      </c>
      <c r="Z229" s="6">
        <f t="shared" si="19"/>
        <v>0</v>
      </c>
      <c r="AA229" s="35">
        <f>IF($K$229="PVC",'Datablad 1'!C45,IF($K$229="HDPE",'Datablad 1'!C46,IF($K$229="LDPE",'Datablad 1'!C47,IF($K$229="RVS",'Datablad 1'!E52,0))))</f>
        <v>0</v>
      </c>
      <c r="AB229" s="91">
        <f>IF($K$229="PVC",'Datablad 3'!C137,IF($K$229="HDPE",'Datablad 3'!C138,IF($K$229="LDPE",'Datablad 3'!C139,IF($K$229="RVS",'Datablad 3'!C140,0))))</f>
        <v>0</v>
      </c>
      <c r="AC229" s="91">
        <f>IF($K$229="PVC",'Datablad 3'!D137,IF($K$229="HDPE",'Datablad 3'!D138,IF($K$229="LDPE",'Datablad 3'!D139,IF($K$229="RVS",'Datablad 3'!D140,0))))</f>
        <v>0</v>
      </c>
      <c r="AD229" s="108">
        <f>IF($K$229="PVC",'Datablad 3'!E137,IF($K$229="HDPE",'Datablad 3'!E138,IF($K$229="LDPE",'Datablad 3'!E139,IF($K$229="RVS",'Datablad 3'!E140,0))))</f>
        <v>0</v>
      </c>
      <c r="AE229" s="93">
        <f>IF($O$229="Avegaarboren",'Datablad 3'!C127,IF($O$229="Geoprobe",'Datablad 3'!C128,IF($O$229="Pulsen",'Datablad 3'!C129,IF($O$229="Sonic drilling",'Datablad 3'!C130,0))))</f>
        <v>0</v>
      </c>
      <c r="AF229" s="93">
        <f>IF($O$229="Avegaarboren",'Datablad 3'!D127,IF($O$229="Geoprobe",'Datablad 3'!D128,IF($O$229="Pulsen",'Datablad 3'!D129,IF($O$229="Sonic drilling",'Datablad 3'!D130,0))))</f>
        <v>0</v>
      </c>
      <c r="AG229" s="95">
        <f>IF($O$229="Avegaarboren",'Datablad 3'!E127,IF($O$229="Geoprobe",'Datablad 3'!E128,IF($O$229="Pulsen",'Datablad 3'!E129,IF($O$229="Sonic drilling",'Datablad 3'!E130,0))))</f>
        <v>0</v>
      </c>
      <c r="AH229" s="91">
        <f>'Datablad 1'!B2+'Datablad 1'!B11</f>
        <v>3.1357</v>
      </c>
      <c r="AI229" s="91">
        <f>AH229</f>
        <v>3.1357</v>
      </c>
      <c r="AJ229" s="11" t="s">
        <v>22</v>
      </c>
    </row>
    <row r="230" spans="1:36" ht="12.75">
      <c r="A230" s="6" t="s">
        <v>463</v>
      </c>
      <c r="B230" s="6" t="s">
        <v>640</v>
      </c>
      <c r="C230" s="287">
        <f>(((((((PI()*POWER($S$230/10,2))-(PI()*POWER(($S$230-V230)/10,2)))*($G$230*100))*Y230)/100)*AB230)*$I$230)+(IF($Q$230="Gestandaardiseerde berekening",$G$230*$I$230*'Datablad 3'!C302*AH230,$G$230*$I$230*AE230*AH230))</f>
        <v>0</v>
      </c>
      <c r="D230" s="287">
        <f>(((((((PI()*POWER($S$230/10,2))-(PI()*POWER(($S$230-W230)/10,2)))*($G$230*100))*Z230)/100)*AC230)*$I$230)+(IF($Q$230="Gestandaardiseerde berekening",$G$230*$I$230*'Datablad 3'!D302*AI230,$G$230*$I$230*AF230*AI230))</f>
        <v>0</v>
      </c>
      <c r="E230" s="7" t="s">
        <v>427</v>
      </c>
      <c r="G230" s="6">
        <f>Invoerscherm!E756</f>
        <v>0</v>
      </c>
      <c r="H230" s="35" t="str">
        <f>Invoerscherm!F756</f>
        <v>m</v>
      </c>
      <c r="I230" s="6">
        <f>Invoerscherm!G756</f>
        <v>0</v>
      </c>
      <c r="J230" s="35" t="str">
        <f>Invoerscherm!H756</f>
        <v>stuks</v>
      </c>
      <c r="K230" s="82" t="str">
        <f>Invoerscherm!I756</f>
        <v>&lt;&lt; maak keuze &gt;&gt;</v>
      </c>
      <c r="L230" s="11" t="s">
        <v>464</v>
      </c>
      <c r="M230" s="82" t="str">
        <f>Invoerscherm!L756</f>
        <v>&lt;&lt; maak keuze &gt;&gt;</v>
      </c>
      <c r="N230" s="11" t="s">
        <v>465</v>
      </c>
      <c r="O230" s="82" t="str">
        <f>Invoerscherm!O756</f>
        <v>&lt;&lt; maak keuze &gt;&gt;</v>
      </c>
      <c r="P230" s="11" t="s">
        <v>477</v>
      </c>
      <c r="Q230" s="110" t="str">
        <f>Invoerscherm!C718</f>
        <v>&lt;&lt; maak keuze &gt;&gt;</v>
      </c>
      <c r="R230" s="11" t="s">
        <v>505</v>
      </c>
      <c r="S230" s="48">
        <f t="shared" si="18"/>
        <v>0</v>
      </c>
      <c r="T230" s="35" t="s">
        <v>508</v>
      </c>
      <c r="V230" s="6">
        <f>IF($M$230="32 mm",'Datablad 3'!C142,IF($M$230="50 mm",'Datablad 3'!C143,IF($M$230="90 mm",'Datablad 3'!C144,IF($M$230="110 mm",'Datablad 3'!C145,IF($M$230="250 mm",'Datablad 3'!C146,0)))))</f>
        <v>0</v>
      </c>
      <c r="W230" s="6">
        <f>IF($M$230="32 mm",'Datablad 3'!D142,IF($M$230="50 mm",'Datablad 3'!D143,IF($M$230="90 mm",'Datablad 3'!D144,IF($M$230="110 mm",'Datablad 3'!D145,IF($M$230="250 mm",'Datablad 3'!D146,0)))))</f>
        <v>0</v>
      </c>
      <c r="X230" s="35">
        <f>IF($M$230="32 mm",'Datablad 3'!E142,IF($M$230="50 mm",'Datablad 3'!E143,IF($M$230="90 mm",'Datablad 3'!E144,IF($M$230="110 mm",'Datablad 3'!E145,IF($M$230="250 mm",'Datablad 3'!E146,0)))))</f>
        <v>0</v>
      </c>
      <c r="Y230" s="6">
        <f>IF($K$230="PVC",'Datablad 1'!B45,IF($K$230="HDPE",'Datablad 1'!B46,IF($K$230="LDPE",'Datablad 1'!B47,IF($K$230="RVS",'Datablad 1'!D52,0))))</f>
        <v>0</v>
      </c>
      <c r="Z230" s="6">
        <f t="shared" si="19"/>
        <v>0</v>
      </c>
      <c r="AA230" s="35">
        <f>IF($K$230="PVC",'Datablad 1'!C45,IF($K$230="HDPE",'Datablad 1'!C46,IF($K$230="LDPE",'Datablad 1'!C47,IF($K$230="RVS",'Datablad 1'!E52,0))))</f>
        <v>0</v>
      </c>
      <c r="AB230" s="91">
        <f>IF($K$230="PVC",'Datablad 3'!C137,IF($K$230="HDPE",'Datablad 3'!C138,IF($K$230="LDPE",'Datablad 3'!C139,IF($K$230="RVS",'Datablad 3'!C140,0))))</f>
        <v>0</v>
      </c>
      <c r="AC230" s="91">
        <f>IF($K$230="PVC",'Datablad 3'!D137,IF($K$230="HDPE",'Datablad 3'!D138,IF($K$230="LDPE",'Datablad 3'!D139,IF($K$230="RVS",'Datablad 3'!D140,0))))</f>
        <v>0</v>
      </c>
      <c r="AD230" s="108">
        <f>IF($K$230="PVC",'Datablad 3'!E137,IF($K$230="HDPE",'Datablad 3'!E138,IF($K$230="LDPE",'Datablad 3'!E139,IF($K$230="RVS",'Datablad 3'!E140,0))))</f>
        <v>0</v>
      </c>
      <c r="AE230" s="93">
        <f>IF($O$230="Avegaarboren",'Datablad 3'!C127,IF($O$230="Geoprobe",'Datablad 3'!C128,IF($O$230="Pulsen",'Datablad 3'!C129,IF($O$230="Sonic drilling",'Datablad 3'!C130,0))))</f>
        <v>0</v>
      </c>
      <c r="AF230" s="93">
        <f>IF($O$230="Avegaarboren",'Datablad 3'!D127,IF($O$230="Geoprobe",'Datablad 3'!D128,IF($O$230="Pulsen",'Datablad 3'!D129,IF($O$230="Sonic drilling",'Datablad 3'!D130,0))))</f>
        <v>0</v>
      </c>
      <c r="AG230" s="95">
        <f>IF($O$230="Avegaarboren",'Datablad 3'!E127,IF($O$230="Geoprobe",'Datablad 3'!E128,IF($O$230="Pulsen",'Datablad 3'!E129,IF($O$230="Sonic drilling",'Datablad 3'!E130,0))))</f>
        <v>0</v>
      </c>
      <c r="AH230" s="91">
        <f>'Datablad 1'!B2+'Datablad 1'!B11</f>
        <v>3.1357</v>
      </c>
      <c r="AI230" s="91">
        <f>AH230</f>
        <v>3.1357</v>
      </c>
      <c r="AJ230" s="11" t="s">
        <v>22</v>
      </c>
    </row>
    <row r="231" spans="1:36" ht="12.75">
      <c r="A231" s="6" t="s">
        <v>463</v>
      </c>
      <c r="B231" s="6" t="s">
        <v>641</v>
      </c>
      <c r="C231" s="287">
        <f>(((((((PI()*POWER($S$231/10,2))-(PI()*POWER(($S$231-V231)/10,2)))*($G$231*100))*Y231)/100)*AB231)*$I$231)+(IF($Q$231="Gestandaardiseerde berekening",$G$231*$I$231*'Datablad 3'!C303*AH231,$G$231*$I$231*AE231*AH231))</f>
        <v>0</v>
      </c>
      <c r="D231" s="287">
        <f>(((((((PI()*POWER($S$231/10,2))-(PI()*POWER(($S$231-W231)/10,2)))*($G$231*100))*Z231)/100)*AC231)*$I$231)+(IF($Q$231="Gestandaardiseerde berekening",$G$231*$I$231*'Datablad 3'!D303*AI231,$G$231*$I$231*AF231*AI231))</f>
        <v>0</v>
      </c>
      <c r="E231" s="7" t="s">
        <v>427</v>
      </c>
      <c r="G231" s="6">
        <f>Invoerscherm!E758</f>
        <v>0</v>
      </c>
      <c r="H231" s="35" t="str">
        <f>Invoerscherm!F758</f>
        <v>m</v>
      </c>
      <c r="I231" s="6">
        <f>Invoerscherm!G758</f>
        <v>0</v>
      </c>
      <c r="J231" s="35" t="str">
        <f>Invoerscherm!H758</f>
        <v>stuks</v>
      </c>
      <c r="K231" s="82" t="str">
        <f>Invoerscherm!I758</f>
        <v>&lt;&lt; maak keuze &gt;&gt;</v>
      </c>
      <c r="L231" s="11" t="s">
        <v>464</v>
      </c>
      <c r="M231" s="82" t="str">
        <f>Invoerscherm!L758</f>
        <v>&lt;&lt; maak keuze &gt;&gt;</v>
      </c>
      <c r="N231" s="11" t="s">
        <v>465</v>
      </c>
      <c r="O231" s="82" t="str">
        <f>Invoerscherm!O758</f>
        <v>&lt;&lt; maak keuze &gt;&gt;</v>
      </c>
      <c r="P231" s="11" t="s">
        <v>477</v>
      </c>
      <c r="Q231" s="110" t="str">
        <f>Invoerscherm!C718</f>
        <v>&lt;&lt; maak keuze &gt;&gt;</v>
      </c>
      <c r="R231" s="11" t="s">
        <v>505</v>
      </c>
      <c r="S231" s="48">
        <f t="shared" si="18"/>
        <v>0</v>
      </c>
      <c r="T231" s="35" t="s">
        <v>508</v>
      </c>
      <c r="V231" s="6">
        <f>IF($M$231="32 mm",'Datablad 3'!C142,IF($M$231="50 mm",'Datablad 3'!C143,IF($M$231="90 mm",'Datablad 3'!C144,IF($M$231="110 mm",'Datablad 3'!C145,IF($M$231="250 mm",'Datablad 3'!C146,0)))))</f>
        <v>0</v>
      </c>
      <c r="W231" s="6">
        <f>IF($M$231="32 mm",'Datablad 3'!D142,IF($M$231="50 mm",'Datablad 3'!D143,IF($M$231="90 mm",'Datablad 3'!D144,IF($M$231="110 mm",'Datablad 3'!D145,IF($M$231="250 mm",'Datablad 3'!D146,0)))))</f>
        <v>0</v>
      </c>
      <c r="X231" s="35">
        <f>IF($M$231="32 mm",'Datablad 3'!E142,IF($M$231="50 mm",'Datablad 3'!E143,IF($M$231="90 mm",'Datablad 3'!E144,IF($M$231="110 mm",'Datablad 3'!E145,IF($M$231="250 mm",'Datablad 3'!E146,0)))))</f>
        <v>0</v>
      </c>
      <c r="Y231" s="6">
        <f>IF($K$231="PVC",'Datablad 1'!B45,IF($K$231="HDPE",'Datablad 1'!B46,IF($K$231="LDPE",'Datablad 1'!B47,IF($K$231="RVS",'Datablad 1'!D52,0))))</f>
        <v>0</v>
      </c>
      <c r="Z231" s="6">
        <f t="shared" si="19"/>
        <v>0</v>
      </c>
      <c r="AA231" s="35">
        <f>IF($K$231="PVC",'Datablad 1'!C45,IF($K$231="HDPE",'Datablad 1'!C46,IF($K$231="LDPE",'Datablad 1'!C47,IF($K$231="RVS",'Datablad 1'!E52,0))))</f>
        <v>0</v>
      </c>
      <c r="AB231" s="91">
        <f>IF($K$231="PVC",'Datablad 3'!C137,IF($K$231="HDPE",'Datablad 3'!C138,IF($K$231="LDPE",'Datablad 3'!C139,IF($K$231="RVS",'Datablad 3'!C140,0))))</f>
        <v>0</v>
      </c>
      <c r="AC231" s="91">
        <f>IF($K$231="PVC",'Datablad 3'!D137,IF($K$231="HDPE",'Datablad 3'!D138,IF($K$231="LDPE",'Datablad 3'!D139,IF($K$231="RVS",'Datablad 3'!D140,0))))</f>
        <v>0</v>
      </c>
      <c r="AD231" s="108">
        <f>IF($K$231="PVC",'Datablad 3'!E137,IF($K$231="HDPE",'Datablad 3'!E138,IF($K$231="LDPE",'Datablad 3'!E139,IF($K$231="RVS",'Datablad 3'!E140,0))))</f>
        <v>0</v>
      </c>
      <c r="AE231" s="93">
        <f>IF($O$231="Avegaarboren",'Datablad 3'!C127,IF($O$231="Geoprobe",'Datablad 3'!C128,IF($O$231="Pulsen",'Datablad 3'!C129,IF($O$231="Sonic drilling",'Datablad 3'!C130,0))))</f>
        <v>0</v>
      </c>
      <c r="AF231" s="93">
        <f>IF($O$231="Avegaarboren",'Datablad 3'!D127,IF($O$231="Geoprobe",'Datablad 3'!D128,IF($O$231="Pulsen",'Datablad 3'!D129,IF($O$231="Sonic drilling",'Datablad 3'!D130,0))))</f>
        <v>0</v>
      </c>
      <c r="AG231" s="95">
        <f>IF($O$231="Avegaarboren",'Datablad 3'!E127,IF($O$231="Geoprobe",'Datablad 3'!E128,IF($O$231="Pulsen",'Datablad 3'!E129,IF($O$231="Sonic drilling",'Datablad 3'!E130,0))))</f>
        <v>0</v>
      </c>
      <c r="AH231" s="91">
        <f>'Datablad 1'!B2+'Datablad 1'!B11</f>
        <v>3.1357</v>
      </c>
      <c r="AI231" s="91">
        <f>AH231</f>
        <v>3.1357</v>
      </c>
      <c r="AJ231" s="11" t="s">
        <v>22</v>
      </c>
    </row>
    <row r="232" spans="1:30" ht="12.75">
      <c r="A232" s="6" t="s">
        <v>463</v>
      </c>
      <c r="B232" s="6" t="s">
        <v>536</v>
      </c>
      <c r="C232" s="287">
        <f>(((((((PI()*POWER($S$232/10,2))-(PI()*POWER(($S$232-V232)/10,2)))*($G$232*100))*Y232)/100)*AB232)*$I$232)</f>
        <v>0</v>
      </c>
      <c r="D232" s="287">
        <f>(((((((PI()*POWER($S$232/10,2))-(PI()*POWER(($S$232-W232)/10,2)))*($G$232*100))*Z232)/100)*AC232)*$I$232)</f>
        <v>0</v>
      </c>
      <c r="E232" s="7" t="s">
        <v>427</v>
      </c>
      <c r="G232" s="6">
        <f>Invoerscherm!E762</f>
        <v>0</v>
      </c>
      <c r="H232" s="35" t="str">
        <f>Invoerscherm!F762</f>
        <v>m</v>
      </c>
      <c r="I232" s="6">
        <f>Invoerscherm!G762</f>
        <v>0</v>
      </c>
      <c r="J232" s="35" t="str">
        <f>Invoerscherm!H762</f>
        <v>stuks</v>
      </c>
      <c r="K232" s="82" t="str">
        <f>Invoerscherm!I762</f>
        <v>&lt;&lt; maak keuze &gt;&gt;</v>
      </c>
      <c r="L232" s="11" t="s">
        <v>464</v>
      </c>
      <c r="M232" s="82" t="str">
        <f>Invoerscherm!L762</f>
        <v>&lt;&lt; maak keuze &gt;&gt;</v>
      </c>
      <c r="N232" s="11" t="s">
        <v>465</v>
      </c>
      <c r="S232" s="48">
        <f t="shared" si="18"/>
        <v>0</v>
      </c>
      <c r="T232" s="35" t="s">
        <v>508</v>
      </c>
      <c r="V232" s="6">
        <f>IF($M$232="32 mm",'Datablad 3'!C142,IF($M$232="50 mm",'Datablad 3'!C143,IF($M$232="90 mm",'Datablad 3'!C144,IF($M$232="110 mm",'Datablad 3'!C145,IF($M$232="250 mm",'Datablad 3'!C146,0)))))</f>
        <v>0</v>
      </c>
      <c r="W232" s="6">
        <f>IF($M$232="32 mm",'Datablad 3'!D142,IF($M$232="50 mm",'Datablad 3'!D143,IF($M$232="90 mm",'Datablad 3'!D144,IF($M$232="110 mm",'Datablad 3'!D145,IF($M$232="250 mm",'Datablad 3'!D146,0)))))</f>
        <v>0</v>
      </c>
      <c r="X232" s="35">
        <f>IF($M$232="32 mm",'Datablad 3'!E142,IF($M$232="50 mm",'Datablad 3'!E143,IF($M$232="90 mm",'Datablad 3'!E144,IF($M$232="110 mm",'Datablad 3'!E145,IF($M$232="250 mm",'Datablad 3'!E146,0)))))</f>
        <v>0</v>
      </c>
      <c r="Y232" s="6">
        <f>IF($K$232="PVC",'Datablad 1'!B45,IF($K$232="HDPE",'Datablad 1'!B46,IF($K$232="LDPE",'Datablad 1'!B47,IF($K$232="RVS",'Datablad 1'!D52,0))))</f>
        <v>0</v>
      </c>
      <c r="Z232" s="6">
        <f t="shared" si="19"/>
        <v>0</v>
      </c>
      <c r="AA232" s="35">
        <f>IF($K$232="PVC",'Datablad 1'!C45,IF($K$232="HDPE",'Datablad 1'!C46,IF($K$232="LDPE",'Datablad 1'!C47,IF($K$232="RVS",'Datablad 1'!E52,0))))</f>
        <v>0</v>
      </c>
      <c r="AB232" s="91">
        <f>IF($K$232="PVC",'Datablad 3'!C137,IF($K$232="HDPE",'Datablad 3'!C138,IF($K$232="LDPE",'Datablad 3'!C139,IF($K$232="RVS",'Datablad 3'!C140,0))))</f>
        <v>0</v>
      </c>
      <c r="AC232" s="91">
        <f>IF($K$232="PVC",'Datablad 3'!D137,IF($K$232="HDPE",'Datablad 3'!D138,IF($K$232="LDPE",'Datablad 3'!D139,IF($K$232="RVS",'Datablad 3'!D140,0))))</f>
        <v>0</v>
      </c>
      <c r="AD232" s="108">
        <f>IF($K$232="PVC",'Datablad 3'!E137,IF($K$232="HDPE",'Datablad 3'!E138,IF($K$232="LDPE",'Datablad 3'!E139,IF($K$232="RVS",'Datablad 3'!E140,0))))</f>
        <v>0</v>
      </c>
    </row>
    <row r="233" spans="1:30" ht="12.75">
      <c r="A233" s="6" t="s">
        <v>463</v>
      </c>
      <c r="B233" s="6" t="s">
        <v>537</v>
      </c>
      <c r="C233" s="287">
        <f>(((((((PI()*POWER($S$233/10,2))-(PI()*POWER(($S$233-V233)/10,2)))*($G$233*100))*Y233)/100)*AB233)*$I$233)</f>
        <v>0</v>
      </c>
      <c r="D233" s="287">
        <f>(((((((PI()*POWER($S$233/10,2))-(PI()*POWER(($S$233-W233)/10,2)))*($G$233*100))*Z233)/100)*AC233)*$I$233)</f>
        <v>0</v>
      </c>
      <c r="E233" s="7" t="s">
        <v>427</v>
      </c>
      <c r="G233" s="6">
        <f>Invoerscherm!E764</f>
        <v>0</v>
      </c>
      <c r="H233" s="35" t="str">
        <f>Invoerscherm!F764</f>
        <v>m</v>
      </c>
      <c r="I233" s="6">
        <f>Invoerscherm!G764</f>
        <v>0</v>
      </c>
      <c r="J233" s="35" t="str">
        <f>Invoerscherm!H764</f>
        <v>stuks</v>
      </c>
      <c r="K233" s="82" t="str">
        <f>Invoerscherm!I764</f>
        <v>&lt;&lt; maak keuze &gt;&gt;</v>
      </c>
      <c r="L233" s="11" t="s">
        <v>464</v>
      </c>
      <c r="M233" s="82" t="str">
        <f>Invoerscherm!L764</f>
        <v>&lt;&lt; maak keuze &gt;&gt;</v>
      </c>
      <c r="N233" s="11" t="s">
        <v>465</v>
      </c>
      <c r="S233" s="48">
        <f t="shared" si="18"/>
        <v>0</v>
      </c>
      <c r="T233" s="35" t="s">
        <v>508</v>
      </c>
      <c r="V233" s="6">
        <f>IF($M$233="32 mm",'Datablad 3'!C142,IF($M$233="50 mm",'Datablad 3'!C143,IF($M$233="90 mm",'Datablad 3'!C144,IF($M$233="110 mm",'Datablad 3'!C145,IF($M$233="250 mm",'Datablad 3'!C146,0)))))</f>
        <v>0</v>
      </c>
      <c r="W233" s="6">
        <f>IF($M$233="32 mm",'Datablad 3'!D142,IF($M$233="50 mm",'Datablad 3'!D143,IF($M$233="90 mm",'Datablad 3'!D144,IF($M$233="110 mm",'Datablad 3'!D145,IF($M$233="250 mm",'Datablad 3'!D146,0)))))</f>
        <v>0</v>
      </c>
      <c r="X233" s="35">
        <f>IF($M$233="32 mm",'Datablad 3'!E142,IF($M$233="50 mm",'Datablad 3'!E143,IF($M$233="90 mm",'Datablad 3'!E144,IF($M$233="110 mm",'Datablad 3'!E145,IF($M$233="250 mm",'Datablad 3'!E146,0)))))</f>
        <v>0</v>
      </c>
      <c r="Y233" s="6">
        <f>IF($K$233="PVC",'Datablad 1'!B45,IF($K$233="HDPE",'Datablad 1'!B46,IF($K$233="LDPE",'Datablad 1'!B47,IF($K$233="RVS",'Datablad 1'!D52,0))))</f>
        <v>0</v>
      </c>
      <c r="Z233" s="6">
        <f t="shared" si="19"/>
        <v>0</v>
      </c>
      <c r="AA233" s="35">
        <f>IF($K$233="PVC",'Datablad 1'!C45,IF($K$233="HDPE",'Datablad 1'!C46,IF($K$233="LDPE",'Datablad 1'!C47,IF($K$233="RVS",'Datablad 1'!E52,0))))</f>
        <v>0</v>
      </c>
      <c r="AB233" s="91">
        <f>IF($K$233="PVC",'Datablad 3'!C137,IF($K$233="HDPE",'Datablad 3'!C138,IF($K$233="LDPE",'Datablad 3'!C139,IF($K$233="RVS",'Datablad 3'!C140,0))))</f>
        <v>0</v>
      </c>
      <c r="AC233" s="91">
        <f>IF($K$233="PVC",'Datablad 3'!D137,IF($K$233="HDPE",'Datablad 3'!D138,IF($K$233="LDPE",'Datablad 3'!D139,IF($K$233="RVS",'Datablad 3'!D140,0))))</f>
        <v>0</v>
      </c>
      <c r="AD233" s="108">
        <f>IF($K$233="PVC",'Datablad 3'!E137,IF($K$233="HDPE",'Datablad 3'!E138,IF($K$233="LDPE",'Datablad 3'!E139,IF($K$233="RVS",'Datablad 3'!E140,0))))</f>
        <v>0</v>
      </c>
    </row>
    <row r="234" spans="1:30" ht="12.75">
      <c r="A234" s="6" t="s">
        <v>463</v>
      </c>
      <c r="B234" s="6" t="s">
        <v>538</v>
      </c>
      <c r="C234" s="287">
        <f>(((((((PI()*POWER($S$234/10,2))-(PI()*POWER(($S$234-V234)/10,2)))*($G$234*100))*Y234)/100)*AB234)*$I$234)</f>
        <v>0</v>
      </c>
      <c r="D234" s="287">
        <f>(((((((PI()*POWER($S$234/10,2))-(PI()*POWER(($S$234-W234)/10,2)))*($G$234*100))*Z234)/100)*AC234)*$I$234)</f>
        <v>0</v>
      </c>
      <c r="E234" s="7" t="s">
        <v>427</v>
      </c>
      <c r="G234" s="6">
        <f>Invoerscherm!E766</f>
        <v>0</v>
      </c>
      <c r="H234" s="35" t="str">
        <f>Invoerscherm!F766</f>
        <v>m</v>
      </c>
      <c r="I234" s="6">
        <f>Invoerscherm!G766</f>
        <v>0</v>
      </c>
      <c r="J234" s="35" t="str">
        <f>Invoerscherm!H766</f>
        <v>stuks</v>
      </c>
      <c r="K234" s="82" t="str">
        <f>Invoerscherm!I766</f>
        <v>&lt;&lt; maak keuze &gt;&gt;</v>
      </c>
      <c r="L234" s="11" t="s">
        <v>464</v>
      </c>
      <c r="M234" s="82" t="str">
        <f>Invoerscherm!L766</f>
        <v>&lt;&lt; maak keuze &gt;&gt;</v>
      </c>
      <c r="N234" s="11" t="s">
        <v>465</v>
      </c>
      <c r="S234" s="48">
        <f t="shared" si="18"/>
        <v>0</v>
      </c>
      <c r="T234" s="35" t="s">
        <v>508</v>
      </c>
      <c r="V234" s="6">
        <f>IF($M$234="32 mm",'Datablad 3'!C142,IF($M$234="50 mm",'Datablad 3'!C143,IF($M$234="90 mm",'Datablad 3'!C144,IF($M$234="110 mm",'Datablad 3'!C145,IF($M$234="250 mm",'Datablad 3'!C146,0)))))</f>
        <v>0</v>
      </c>
      <c r="W234" s="6">
        <f>IF($M$234="32 mm",'Datablad 3'!D142,IF($M$234="50 mm",'Datablad 3'!D143,IF($M$234="90 mm",'Datablad 3'!D144,IF($M$234="110 mm",'Datablad 3'!D145,IF($M$234="250 mm",'Datablad 3'!D146,0)))))</f>
        <v>0</v>
      </c>
      <c r="X234" s="35">
        <f>IF($M$234="32 mm",'Datablad 3'!E142,IF($M$234="50 mm",'Datablad 3'!E143,IF($M$234="90 mm",'Datablad 3'!E144,IF($M$234="110 mm",'Datablad 3'!E145,IF($M$234="250 mm",'Datablad 3'!E146,0)))))</f>
        <v>0</v>
      </c>
      <c r="Y234" s="6">
        <f>IF($K$234="PVC",'Datablad 1'!B45,IF($K$234="HDPE",'Datablad 1'!B46,IF($K$234="LDPE",'Datablad 1'!B47,IF($K$234="RVS",'Datablad 1'!D52,0))))</f>
        <v>0</v>
      </c>
      <c r="Z234" s="6">
        <f t="shared" si="19"/>
        <v>0</v>
      </c>
      <c r="AA234" s="35">
        <f>IF($K$234="PVC",'Datablad 1'!C45,IF($K$234="HDPE",'Datablad 1'!C46,IF($K$234="LDPE",'Datablad 1'!C47,IF($K$234="RVS",'Datablad 1'!E52,0))))</f>
        <v>0</v>
      </c>
      <c r="AB234" s="91">
        <f>IF($K$234="PVC",'Datablad 3'!C137,IF($K$234="HDPE",'Datablad 3'!C138,IF($K$234="LDPE",'Datablad 3'!C139,IF($K$234="RVS",'Datablad 3'!C140,0))))</f>
        <v>0</v>
      </c>
      <c r="AC234" s="91">
        <f>IF($K$234="PVC",'Datablad 3'!D137,IF($K$234="HDPE",'Datablad 3'!D138,IF($K$234="LDPE",'Datablad 3'!D139,IF($K$234="RVS",'Datablad 3'!D140,0))))</f>
        <v>0</v>
      </c>
      <c r="AD234" s="108">
        <f>IF($K$234="PVC",'Datablad 3'!E137,IF($K$234="HDPE",'Datablad 3'!E138,IF($K$234="LDPE",'Datablad 3'!E139,IF($K$234="RVS",'Datablad 3'!E140,0))))</f>
        <v>0</v>
      </c>
    </row>
    <row r="235" spans="1:30" ht="12.75">
      <c r="A235" s="6" t="s">
        <v>463</v>
      </c>
      <c r="B235" s="6" t="s">
        <v>539</v>
      </c>
      <c r="C235" s="287">
        <f>(((((((PI()*POWER($S$235/10,2))-(PI()*POWER(($S$235-V235)/10,2)))*($G$235*100))*Y235)/100)*AB235)*$I$235)</f>
        <v>0</v>
      </c>
      <c r="D235" s="287">
        <f>(((((((PI()*POWER($S$235/10,2))-(PI()*POWER(($S$235-W235)/10,2)))*($G$235*100))*Z235)/100)*AC235)*$I$235)</f>
        <v>0</v>
      </c>
      <c r="E235" s="7" t="s">
        <v>427</v>
      </c>
      <c r="G235" s="6">
        <f>Invoerscherm!E768</f>
        <v>0</v>
      </c>
      <c r="H235" s="35" t="str">
        <f>Invoerscherm!F768</f>
        <v>m</v>
      </c>
      <c r="I235" s="6">
        <f>Invoerscherm!G768</f>
        <v>0</v>
      </c>
      <c r="J235" s="35" t="str">
        <f>Invoerscherm!H768</f>
        <v>stuks</v>
      </c>
      <c r="K235" s="82" t="str">
        <f>Invoerscherm!I768</f>
        <v>&lt;&lt; maak keuze &gt;&gt;</v>
      </c>
      <c r="L235" s="11" t="s">
        <v>464</v>
      </c>
      <c r="M235" s="82" t="str">
        <f>Invoerscherm!L768</f>
        <v>&lt;&lt; maak keuze &gt;&gt;</v>
      </c>
      <c r="N235" s="11" t="s">
        <v>465</v>
      </c>
      <c r="S235" s="48">
        <f t="shared" si="18"/>
        <v>0</v>
      </c>
      <c r="T235" s="35" t="s">
        <v>508</v>
      </c>
      <c r="V235" s="6">
        <f>IF($M$235="32 mm",'Datablad 3'!C142,IF($M$235="50 mm",'Datablad 3'!C143,IF($M$235="90 mm",'Datablad 3'!C144,IF($M$235="110 mm",'Datablad 3'!C145,IF($M$235="250 mm",'Datablad 3'!C146,0)))))</f>
        <v>0</v>
      </c>
      <c r="W235" s="6">
        <f>IF($M$235="32 mm",'Datablad 3'!D142,IF($M$235="50 mm",'Datablad 3'!D143,IF($M$235="90 mm",'Datablad 3'!D144,IF($M$235="110 mm",'Datablad 3'!D145,IF($M$235="250 mm",'Datablad 3'!D146,0)))))</f>
        <v>0</v>
      </c>
      <c r="X235" s="35">
        <f>IF($M$235="32 mm",'Datablad 3'!E142,IF($M$235="50 mm",'Datablad 3'!E143,IF($M$235="90 mm",'Datablad 3'!E144,IF($M$235="110 mm",'Datablad 3'!E145,IF($M$235="250 mm",'Datablad 3'!E146,0)))))</f>
        <v>0</v>
      </c>
      <c r="Y235" s="6">
        <f>IF($K$235="PVC",'Datablad 1'!B45,IF($K$235="HDPE",'Datablad 1'!B46,IF($K$235="LDPE",'Datablad 1'!B47,IF($K$235="RVS",'Datablad 1'!D52,0))))</f>
        <v>0</v>
      </c>
      <c r="Z235" s="6">
        <f t="shared" si="19"/>
        <v>0</v>
      </c>
      <c r="AA235" s="35">
        <f>IF($K$235="PVC",'Datablad 1'!C45,IF($K$235="HDPE",'Datablad 1'!C46,IF($K$235="LDPE",'Datablad 1'!C47,IF($K$235="RVS",'Datablad 1'!E52,0))))</f>
        <v>0</v>
      </c>
      <c r="AB235" s="91">
        <f>IF($K$235="PVC",'Datablad 3'!C137,IF($K$235="HDPE",'Datablad 3'!C138,IF($K$235="LDPE",'Datablad 3'!C139,IF($K$235="RVS",'Datablad 3'!C140,0))))</f>
        <v>0</v>
      </c>
      <c r="AC235" s="91">
        <f>IF($K$235="PVC",'Datablad 3'!D137,IF($K$235="HDPE",'Datablad 3'!D138,IF($K$235="LDPE",'Datablad 3'!D139,IF($K$235="RVS",'Datablad 3'!D140,0))))</f>
        <v>0</v>
      </c>
      <c r="AD235" s="108">
        <f>IF($K$235="PVC",'Datablad 3'!E137,IF($K$235="HDPE",'Datablad 3'!E138,IF($K$235="LDPE",'Datablad 3'!E139,IF($K$235="RVS",'Datablad 3'!E140,0))))</f>
        <v>0</v>
      </c>
    </row>
    <row r="236" spans="1:27" ht="12.75">
      <c r="A236" s="6" t="s">
        <v>542</v>
      </c>
      <c r="B236" s="6" t="s">
        <v>643</v>
      </c>
      <c r="C236" s="273">
        <f>$G$236*Y236*V236</f>
        <v>0</v>
      </c>
      <c r="D236" s="273">
        <f>$G$236*Z236*W236</f>
        <v>0</v>
      </c>
      <c r="E236" s="7" t="s">
        <v>427</v>
      </c>
      <c r="G236" s="6">
        <f>Invoerscherm!I775</f>
        <v>0</v>
      </c>
      <c r="H236" s="35" t="str">
        <f>Invoerscherm!J775</f>
        <v>m³</v>
      </c>
      <c r="I236" s="82" t="str">
        <f>Invoerscherm!L775</f>
        <v>&lt;&lt; maak keuze &gt;&gt;</v>
      </c>
      <c r="J236" s="11" t="s">
        <v>442</v>
      </c>
      <c r="S236" s="48"/>
      <c r="V236" s="6">
        <f>IF($I$236="Grijze stroom",'Datablad 1'!B29,IF($I$236="Groene stroom",'Datablad 1'!B30,IF($I$236="Directe windenergie",'Datablad 1'!B31,IF($I$236="Directe zonne-energie",'Datablad 1'!B32,IF($I$236="Directe waterkracht",'Datablad 1'!B33,IF($I$236="Directe biomassa",'Datablad 1'!B34,0))))))</f>
        <v>0</v>
      </c>
      <c r="W236" s="6">
        <f>V236</f>
        <v>0</v>
      </c>
      <c r="X236" s="35">
        <f>IF($I$236="Grijze stroom",'Datablad 1'!C29,IF($I$236="Groene stroom",'Datablad 1'!C30,IF($I$236="Directe windenergie",'Datablad 1'!C31,IF($I$236="Directe zonne-energie",'Datablad 1'!C32,IF($I$236="Directe waterkracht",'Datablad 1'!C33,IF($I$236="Directe biomassa",'Datablad 1'!C34,0))))))</f>
        <v>0</v>
      </c>
      <c r="Y236" s="6">
        <f>'Datablad 3'!C109</f>
        <v>300</v>
      </c>
      <c r="Z236" s="6">
        <f>'Datablad 3'!D109</f>
        <v>300</v>
      </c>
      <c r="AA236" s="35" t="str">
        <f>'Datablad 3'!E109</f>
        <v>kWH/m3</v>
      </c>
    </row>
    <row r="237" spans="1:27" ht="12.75">
      <c r="A237" s="6" t="s">
        <v>542</v>
      </c>
      <c r="B237" s="6" t="s">
        <v>644</v>
      </c>
      <c r="C237" s="273">
        <f>$G$237*Y237*V237</f>
        <v>0</v>
      </c>
      <c r="D237" s="273">
        <f>$G$237*Z237*W237</f>
        <v>0</v>
      </c>
      <c r="E237" s="7" t="s">
        <v>427</v>
      </c>
      <c r="G237" s="6">
        <f>Invoerscherm!I777</f>
        <v>0</v>
      </c>
      <c r="H237" s="35" t="str">
        <f>Invoerscherm!J777</f>
        <v>m³</v>
      </c>
      <c r="I237" s="82" t="str">
        <f>Invoerscherm!L777</f>
        <v>&lt;&lt; maak keuze &gt;&gt;</v>
      </c>
      <c r="J237" s="11" t="s">
        <v>442</v>
      </c>
      <c r="S237" s="48"/>
      <c r="V237" s="6">
        <f>IF($I$237="Grijze stroom",'Datablad 1'!B29,IF($I$237="Groene stroom",'Datablad 1'!B30,IF($I$237="Directe windenergie",'Datablad 1'!B31,IF($I$237="Directe zonne-energie",'Datablad 1'!B32,IF($I$237="Directe waterkracht",'Datablad 1'!B33,IF($I$237="Directe biomassa",'Datablad 1'!B34,0))))))</f>
        <v>0</v>
      </c>
      <c r="W237" s="6">
        <f>V237</f>
        <v>0</v>
      </c>
      <c r="X237" s="35">
        <f>IF($I$237="Grijze stroom",'Datablad 1'!C29,IF($I$237="Groene stroom",'Datablad 1'!C30,IF($I$237="Directe windenergie",'Datablad 1'!C31,IF($I$237="Directe zonne-energie",'Datablad 1'!C32,IF($I$237="Directe waterkracht",'Datablad 1'!C33,IF($I$237="Directe biomassa",'Datablad 1'!C34,0))))))</f>
        <v>0</v>
      </c>
      <c r="Y237" s="6">
        <f>'Datablad 3'!C110</f>
        <v>290</v>
      </c>
      <c r="Z237" s="6">
        <f>'Datablad 3'!D110</f>
        <v>290</v>
      </c>
      <c r="AA237" s="35" t="str">
        <f>'Datablad 3'!E110</f>
        <v>kWH/m3</v>
      </c>
    </row>
    <row r="238" spans="1:27" ht="12.75">
      <c r="A238" s="6" t="s">
        <v>542</v>
      </c>
      <c r="B238" s="6" t="s">
        <v>668</v>
      </c>
      <c r="C238" s="273">
        <f>$G$238*Y238*V238</f>
        <v>0</v>
      </c>
      <c r="D238" s="273">
        <f>$G$238*Z238*W238</f>
        <v>0</v>
      </c>
      <c r="E238" s="7" t="s">
        <v>427</v>
      </c>
      <c r="G238" s="6">
        <f>Invoerscherm!I779</f>
        <v>0</v>
      </c>
      <c r="H238" s="35" t="str">
        <f>Invoerscherm!J779</f>
        <v>m³</v>
      </c>
      <c r="I238" s="82" t="str">
        <f>Invoerscherm!L779</f>
        <v>&lt;&lt; maak keuze &gt;&gt;</v>
      </c>
      <c r="J238" s="11" t="s">
        <v>442</v>
      </c>
      <c r="S238" s="48"/>
      <c r="V238" s="6">
        <f>IF($I$238="Grijze stroom",'Datablad 1'!B29,IF($I$238="Groene stroom",'Datablad 1'!B30,IF($I$238="Directe windenergie",'Datablad 1'!B31,IF($I$238="Directe zonne-energie",'Datablad 1'!B32,IF($I$238="Directe waterkracht",'Datablad 1'!B33,IF($I$238="Directe biomassa",'Datablad 1'!B34,0))))))</f>
        <v>0</v>
      </c>
      <c r="W238" s="6">
        <f>V238</f>
        <v>0</v>
      </c>
      <c r="X238" s="35">
        <f>IF($I$238="Grijze stroom",'Datablad 1'!C29,IF($I$238="Groene stroom",'Datablad 1'!C30,IF($I$238="Directe windenergie",'Datablad 1'!C31,IF($I$238="Directe zonne-energie",'Datablad 1'!C32,IF($I$238="Directe waterkracht",'Datablad 1'!C33,IF($I$238="Directe biomassa",'Datablad 1'!C34,0))))))</f>
        <v>0</v>
      </c>
      <c r="Y238" s="6">
        <f>'Datablad 3'!C111</f>
        <v>230</v>
      </c>
      <c r="Z238" s="6">
        <f>'Datablad 3'!D111</f>
        <v>230</v>
      </c>
      <c r="AA238" s="35" t="str">
        <f>'Datablad 3'!E111</f>
        <v>kWH/m3</v>
      </c>
    </row>
    <row r="239" spans="1:27" ht="12.75">
      <c r="A239" s="6" t="s">
        <v>542</v>
      </c>
      <c r="B239" s="6" t="s">
        <v>579</v>
      </c>
      <c r="C239" s="273">
        <f>(($I$239*24)*V239*Y239)*$G$239</f>
        <v>0</v>
      </c>
      <c r="D239" s="273">
        <f>(($I$239*24)*W239*Z239)*$G$239</f>
        <v>0</v>
      </c>
      <c r="E239" s="7" t="s">
        <v>427</v>
      </c>
      <c r="G239" s="6">
        <f>Invoerscherm!F783</f>
        <v>0</v>
      </c>
      <c r="H239" s="35" t="str">
        <f>Invoerscherm!G783</f>
        <v>stuks</v>
      </c>
      <c r="I239" s="6">
        <f>Invoerscherm!H783</f>
        <v>0</v>
      </c>
      <c r="J239" s="35" t="str">
        <f>Invoerscherm!I783</f>
        <v>dagen</v>
      </c>
      <c r="K239" s="82" t="str">
        <f>Invoerscherm!J783</f>
        <v>&lt;&lt; maak keuze &gt;&gt;</v>
      </c>
      <c r="L239" s="11" t="s">
        <v>442</v>
      </c>
      <c r="S239" s="48"/>
      <c r="V239" s="6">
        <f>'Datablad 3'!C73</f>
        <v>4</v>
      </c>
      <c r="W239" s="6">
        <f>'Datablad 3'!D73</f>
        <v>4</v>
      </c>
      <c r="X239" s="35" t="str">
        <f>'Datablad 3'!E73</f>
        <v>kWh</v>
      </c>
      <c r="Y239" s="6">
        <f>IF($K$239="Grijze stroom",'Datablad 1'!B29,IF($K$239="Groene stroom",'Datablad 1'!B30,IF($K$239="Directe windenergie",'Datablad 1'!B31,IF($K$239="Directe zonne-energie",'Datablad 1'!B32,IF($K$239="Directe waterkracht",'Datablad 1'!B33,IF($K$239="Directe biomassa",'Datablad 1'!B34,0))))))</f>
        <v>0</v>
      </c>
      <c r="Z239" s="6">
        <f>Y239</f>
        <v>0</v>
      </c>
      <c r="AA239" s="35">
        <f>IF($K$239="Grijze stroom",'Datablad 1'!C29,IF($K$239="Groene stroom",'Datablad 1'!C30,IF($K$239="Directe windenergie",'Datablad 1'!C31,IF($K$239="Directe zonne-energie",'Datablad 1'!C32,IF($K$239="Directe waterkracht",'Datablad 1'!C33,IF($K$239="Directe biomassa",'Datablad 1'!C34,0))))))</f>
        <v>0</v>
      </c>
    </row>
    <row r="240" spans="1:27" ht="12.75">
      <c r="A240" s="6" t="s">
        <v>542</v>
      </c>
      <c r="B240" s="6" t="s">
        <v>580</v>
      </c>
      <c r="C240" s="273">
        <f>(($I$240*24)*V240*Y240)*$G$240</f>
        <v>0</v>
      </c>
      <c r="D240" s="273">
        <f>(($I$240*24)*W240*Z240)*$G$240</f>
        <v>0</v>
      </c>
      <c r="E240" s="7" t="s">
        <v>427</v>
      </c>
      <c r="G240" s="6">
        <f>Invoerscherm!F785</f>
        <v>0</v>
      </c>
      <c r="H240" s="35" t="str">
        <f>Invoerscherm!G785</f>
        <v>stuks</v>
      </c>
      <c r="I240" s="6">
        <f>Invoerscherm!H785</f>
        <v>0</v>
      </c>
      <c r="J240" s="35" t="str">
        <f>Invoerscherm!I785</f>
        <v>dagen</v>
      </c>
      <c r="K240" s="82" t="str">
        <f>Invoerscherm!J783</f>
        <v>&lt;&lt; maak keuze &gt;&gt;</v>
      </c>
      <c r="L240" s="11" t="s">
        <v>442</v>
      </c>
      <c r="S240" s="48"/>
      <c r="V240" s="6">
        <f>'Datablad 3'!C74</f>
        <v>8</v>
      </c>
      <c r="W240" s="6">
        <f>'Datablad 3'!D74</f>
        <v>8</v>
      </c>
      <c r="X240" s="35" t="str">
        <f>'Datablad 3'!E74</f>
        <v>kWh</v>
      </c>
      <c r="Y240" s="6">
        <f>IF($K$240="Grijze stroom",'Datablad 1'!B29,IF($K$240="Groene stroom",'Datablad 1'!B30,IF($K$240="Directe windenergie",'Datablad 1'!B31,IF($K$240="Directe zonne-energie",'Datablad 1'!B32,IF($K$240="Directe waterkracht",'Datablad 1'!B33,IF($K$240="Directe biomassa",'Datablad 1'!B34,0))))))</f>
        <v>0</v>
      </c>
      <c r="Z240" s="6">
        <f>Y240</f>
        <v>0</v>
      </c>
      <c r="AA240" s="35">
        <f>IF($K$240="Grijze stroom",'Datablad 1'!C29,IF($K$240="Groene stroom",'Datablad 1'!C30,IF($K$240="Directe windenergie",'Datablad 1'!C31,IF($K$240="Directe zonne-energie",'Datablad 1'!C32,IF($K$240="Directe waterkracht",'Datablad 1'!C33,IF($K$240="Directe biomassa",'Datablad 1'!C34,0))))))</f>
        <v>0</v>
      </c>
    </row>
    <row r="241" spans="1:27" ht="12.75">
      <c r="A241" s="6" t="s">
        <v>542</v>
      </c>
      <c r="B241" s="6" t="s">
        <v>581</v>
      </c>
      <c r="C241" s="273">
        <f>(($I$241*24)*V241*Y241)*$G$241</f>
        <v>0</v>
      </c>
      <c r="D241" s="273">
        <f>(($I$241*24)*W241*Z241)*$G$241</f>
        <v>0</v>
      </c>
      <c r="E241" s="7" t="s">
        <v>427</v>
      </c>
      <c r="G241" s="6">
        <f>Invoerscherm!F787</f>
        <v>0</v>
      </c>
      <c r="H241" s="35" t="str">
        <f>Invoerscherm!G787</f>
        <v>stuks</v>
      </c>
      <c r="I241" s="6">
        <f>Invoerscherm!H787</f>
        <v>0</v>
      </c>
      <c r="J241" s="35" t="str">
        <f>Invoerscherm!I787</f>
        <v>dagen</v>
      </c>
      <c r="K241" s="82" t="str">
        <f>Invoerscherm!J783</f>
        <v>&lt;&lt; maak keuze &gt;&gt;</v>
      </c>
      <c r="L241" s="11" t="s">
        <v>442</v>
      </c>
      <c r="S241" s="48"/>
      <c r="V241" s="6">
        <f>'Datablad 3'!C75</f>
        <v>12</v>
      </c>
      <c r="W241" s="6">
        <f>'Datablad 3'!D75</f>
        <v>13</v>
      </c>
      <c r="X241" s="35" t="str">
        <f>'Datablad 3'!E75</f>
        <v>kWh</v>
      </c>
      <c r="Y241" s="6">
        <f>IF($K$241="Grijze stroom",'Datablad 1'!B29,IF($K$241="Groene stroom",'Datablad 1'!B30,IF($K$241="Directe windenergie",'Datablad 1'!B31,IF($K$241="Directe zonne-energie",'Datablad 1'!B32,IF($K$241="Directe waterkracht",'Datablad 1'!B33,IF($K$241="Directe biomassa",'Datablad 1'!B34,0))))))</f>
        <v>0</v>
      </c>
      <c r="Z241" s="6">
        <f>Y241</f>
        <v>0</v>
      </c>
      <c r="AA241" s="35">
        <f>IF($K$241="Grijze stroom",'Datablad 1'!C29,IF($K$241="Groene stroom",'Datablad 1'!C30,IF($K$241="Directe windenergie",'Datablad 1'!C31,IF($K$241="Directe zonne-energie",'Datablad 1'!C32,IF($K$241="Directe waterkracht",'Datablad 1'!C33,IF($K$241="Directe biomassa",'Datablad 1'!C34,0))))))</f>
        <v>0</v>
      </c>
    </row>
    <row r="242" spans="1:30" ht="12.75">
      <c r="A242" s="6" t="s">
        <v>542</v>
      </c>
      <c r="B242" s="113" t="s">
        <v>586</v>
      </c>
      <c r="C242" s="287">
        <f>($G$242*(V242/1000)*Y242)+($I$242*AB242)</f>
        <v>0</v>
      </c>
      <c r="D242" s="287">
        <f>($G$242*(W242/1000)*Z242)+($I$242*AC242)</f>
        <v>0</v>
      </c>
      <c r="E242" s="7" t="s">
        <v>427</v>
      </c>
      <c r="G242" s="6">
        <f>Invoerscherm!F791</f>
        <v>0</v>
      </c>
      <c r="H242" s="35" t="str">
        <f>Invoerscherm!G791</f>
        <v>m³ lucht</v>
      </c>
      <c r="I242" s="85">
        <f>Invoerscherm!H791</f>
        <v>0</v>
      </c>
      <c r="J242" s="35" t="str">
        <f>Invoerscherm!I791</f>
        <v>kg</v>
      </c>
      <c r="K242" s="82" t="str">
        <f>Invoerscherm!J791</f>
        <v>&lt;&lt; maak keuze &gt;&gt;</v>
      </c>
      <c r="L242" s="11" t="s">
        <v>442</v>
      </c>
      <c r="S242" s="48"/>
      <c r="V242" s="6">
        <f>'Datablad 3'!C116</f>
        <v>0.5</v>
      </c>
      <c r="W242" s="6">
        <f>'Datablad 3'!D116</f>
        <v>0.5</v>
      </c>
      <c r="X242" s="35" t="str">
        <f>'Datablad 3'!E116</f>
        <v>kWh / 1000 m3 lucht</v>
      </c>
      <c r="Y242" s="6">
        <f>IF($K$242="Grijze stroom",'Datablad 1'!B29,IF($K$242="Groene stroom",'Datablad 1'!B30,IF($K$242="Directe windenergie",'Datablad 1'!B31,IF($K$242="Directe zonne-energie",'Datablad 1'!B32,IF($K$242="Directe waterkracht",'Datablad 1'!B33,IF($K$242="Directe biomassa",'Datablad 1'!B34,0))))))</f>
        <v>0</v>
      </c>
      <c r="Z242" s="6">
        <f>Y242</f>
        <v>0</v>
      </c>
      <c r="AA242" s="35">
        <f>IF($K$242="Grijze stroom",'Datablad 1'!C29,IF($K$242="Groene stroom",'Datablad 1'!C30,IF($K$242="Directe windenergie",'Datablad 1'!C31,IF($K$242="Directe zonne-energie",'Datablad 1'!C32,IF($K$242="Directe waterkracht",'Datablad 1'!C33,IF($K$242="Directe biomassa",'Datablad 1'!C34,0))))))</f>
        <v>0</v>
      </c>
      <c r="AB242" s="6">
        <f>'Datablad 3'!C117+'Datablad 3'!C119</f>
        <v>11.05</v>
      </c>
      <c r="AC242" s="6">
        <f>'Datablad 3'!D117+'Datablad 3'!D119</f>
        <v>11.05</v>
      </c>
      <c r="AD242" s="11" t="s">
        <v>729</v>
      </c>
    </row>
    <row r="243" spans="1:27" ht="12.75">
      <c r="A243" s="6" t="s">
        <v>542</v>
      </c>
      <c r="B243" s="113" t="s">
        <v>588</v>
      </c>
      <c r="C243" s="287">
        <f>$G$243*(V243/1000)*Y243</f>
        <v>0</v>
      </c>
      <c r="D243" s="287">
        <f>$G$243*(W243/1000)*Z243</f>
        <v>0</v>
      </c>
      <c r="E243" s="7" t="s">
        <v>427</v>
      </c>
      <c r="G243" s="6">
        <f>Invoerscherm!F793</f>
        <v>0</v>
      </c>
      <c r="H243" s="35" t="str">
        <f>Invoerscherm!G793</f>
        <v>m³ lucht</v>
      </c>
      <c r="K243" s="82" t="str">
        <f>Invoerscherm!J793</f>
        <v>&lt;&lt; maak keuze &gt;&gt;</v>
      </c>
      <c r="L243" s="11" t="s">
        <v>442</v>
      </c>
      <c r="S243" s="48"/>
      <c r="V243" s="6">
        <f>'Datablad 3'!C121</f>
        <v>3</v>
      </c>
      <c r="W243" s="6">
        <f>'Datablad 3'!D121</f>
        <v>5</v>
      </c>
      <c r="X243" s="35" t="str">
        <f>'Datablad 3'!E121</f>
        <v>kWh / 1000 m3 lucht</v>
      </c>
      <c r="Y243" s="6">
        <f>IF($K$243="Grijze stroom",'Datablad 1'!B29,IF($K$243="Groene stroom",'Datablad 1'!B30,IF($K$243="Directe windenergie",'Datablad 1'!B31,IF($K$243="Directe zonne-energie",'Datablad 1'!B32,IF($K$243="Directe waterkracht",'Datablad 1'!B33,IF($K$243="Directe biomassa",'Datablad 1'!B34,0))))))</f>
        <v>0</v>
      </c>
      <c r="Z243" s="6">
        <f>Y243</f>
        <v>0</v>
      </c>
      <c r="AA243" s="35">
        <f>IF($K$243="Grijze stroom",'Datablad 1'!C29,IF($K$243="Groene stroom",'Datablad 1'!C30,IF($K$243="Directe windenergie",'Datablad 1'!C31,IF($K$243="Directe zonne-energie",'Datablad 1'!C32,IF($K$243="Directe waterkracht",'Datablad 1'!C33,IF($K$243="Directe biomassa",'Datablad 1'!C34,0))))))</f>
        <v>0</v>
      </c>
    </row>
    <row r="244" spans="1:24" ht="12.75">
      <c r="A244" s="6" t="s">
        <v>542</v>
      </c>
      <c r="B244" s="113" t="s">
        <v>593</v>
      </c>
      <c r="C244" s="287">
        <f>$G$244*V244</f>
        <v>0</v>
      </c>
      <c r="D244" s="287">
        <f>$G$244*W244</f>
        <v>0</v>
      </c>
      <c r="E244" s="7" t="s">
        <v>427</v>
      </c>
      <c r="G244" s="6">
        <f>Invoerscherm!F797</f>
        <v>0</v>
      </c>
      <c r="H244" s="35" t="str">
        <f>Invoerscherm!G797</f>
        <v>kg</v>
      </c>
      <c r="S244" s="48"/>
      <c r="V244" s="44">
        <f>'Datablad 3'!C165</f>
        <v>0.37</v>
      </c>
      <c r="W244" s="44">
        <f>'Datablad 3'!D165</f>
        <v>0.37</v>
      </c>
      <c r="X244" s="44" t="str">
        <f>'Datablad 3'!E165</f>
        <v>kg CO2 / kg product</v>
      </c>
    </row>
    <row r="245" spans="1:24" ht="12.75">
      <c r="A245" s="6" t="s">
        <v>542</v>
      </c>
      <c r="B245" s="113" t="s">
        <v>594</v>
      </c>
      <c r="C245" s="287">
        <f>$G$245*V245</f>
        <v>0</v>
      </c>
      <c r="D245" s="287">
        <f>$G$245*W245</f>
        <v>0</v>
      </c>
      <c r="E245" s="7" t="s">
        <v>427</v>
      </c>
      <c r="G245" s="6">
        <f>Invoerscherm!F799</f>
        <v>0</v>
      </c>
      <c r="H245" s="35" t="str">
        <f>Invoerscherm!G799</f>
        <v>kg</v>
      </c>
      <c r="S245" s="48"/>
      <c r="V245" s="44">
        <f>'Datablad 3'!C166</f>
        <v>0.6616541353383458</v>
      </c>
      <c r="W245" s="44">
        <f>'Datablad 3'!D166</f>
        <v>0.6616541353383458</v>
      </c>
      <c r="X245" s="44" t="str">
        <f>'Datablad 3'!E166</f>
        <v>kg CO2 / kg product</v>
      </c>
    </row>
    <row r="246" spans="1:27" ht="12.75">
      <c r="A246" s="6" t="s">
        <v>686</v>
      </c>
      <c r="B246" s="113" t="s">
        <v>681</v>
      </c>
      <c r="C246" s="290">
        <f>IF($G$246="Lichte componenten",((($I$246*V246*1000)*($M$246/100))+$K$246)*Y246,0)</f>
        <v>0</v>
      </c>
      <c r="D246" s="290">
        <f>IF($G$246="Lichte componenten",((($I$246*W246*1000)*($M$246/100))+$K$246)*Z246,0)</f>
        <v>0</v>
      </c>
      <c r="E246" s="7" t="s">
        <v>427</v>
      </c>
      <c r="G246" s="82" t="str">
        <f>Invoerscherm!C806</f>
        <v>&lt;&lt; maak keuze &gt;&gt;</v>
      </c>
      <c r="H246" s="11" t="s">
        <v>687</v>
      </c>
      <c r="I246" s="6">
        <f>Invoerscherm!H808</f>
        <v>0</v>
      </c>
      <c r="J246" s="35" t="str">
        <f>Invoerscherm!I808</f>
        <v>m³</v>
      </c>
      <c r="K246" s="6">
        <f>Invoerscherm!H810</f>
        <v>0</v>
      </c>
      <c r="L246" s="35" t="str">
        <f>Invoerscherm!I810</f>
        <v>kg C</v>
      </c>
      <c r="M246" s="6">
        <f>Invoerscherm!H812</f>
        <v>0</v>
      </c>
      <c r="N246" s="35" t="str">
        <f>Invoerscherm!I812</f>
        <v>% org. C</v>
      </c>
      <c r="S246" s="48"/>
      <c r="V246" s="6">
        <f>'Datablad 1'!B39</f>
        <v>1.7</v>
      </c>
      <c r="W246" s="6">
        <f>V246</f>
        <v>1.7</v>
      </c>
      <c r="X246" s="35" t="str">
        <f>'Datablad 1'!C39</f>
        <v>ton/m3</v>
      </c>
      <c r="Y246" s="6">
        <f>'Datablad 2'!C2</f>
        <v>3.67</v>
      </c>
      <c r="Z246" s="6">
        <f>Y246</f>
        <v>3.67</v>
      </c>
      <c r="AA246" s="35" t="str">
        <f>'Datablad 2'!D2</f>
        <v>kg CO2 / kg C</v>
      </c>
    </row>
    <row r="247" spans="1:30" ht="12.75">
      <c r="A247" s="6" t="s">
        <v>686</v>
      </c>
      <c r="B247" s="113" t="s">
        <v>682</v>
      </c>
      <c r="C247" s="290">
        <f>IF($G$247="Zware componenten",(((($I$247*V247*1000)*($M$247/100))+$K$247)*Y247),0)</f>
        <v>0</v>
      </c>
      <c r="D247" s="290">
        <f>IF($G$247="Zware componenten",(((($I$247*W247*1000)*($M$247/100))+$K$247)*Z247)+(($I$247*W247*1000)*($O$247/100))*AC247,0)</f>
        <v>0</v>
      </c>
      <c r="E247" s="7" t="s">
        <v>427</v>
      </c>
      <c r="G247" s="82" t="str">
        <f>Invoerscherm!C806</f>
        <v>&lt;&lt; maak keuze &gt;&gt;</v>
      </c>
      <c r="H247" s="11" t="s">
        <v>687</v>
      </c>
      <c r="I247" s="6">
        <f>Invoerscherm!H808</f>
        <v>0</v>
      </c>
      <c r="J247" s="35" t="str">
        <f>Invoerscherm!I808</f>
        <v>m³</v>
      </c>
      <c r="K247" s="6">
        <f>Invoerscherm!H810</f>
        <v>0</v>
      </c>
      <c r="L247" s="35" t="str">
        <f>Invoerscherm!I810</f>
        <v>kg C</v>
      </c>
      <c r="M247" s="6">
        <f>Invoerscherm!H812</f>
        <v>0</v>
      </c>
      <c r="N247" s="35" t="str">
        <f>Invoerscherm!I812</f>
        <v>% org. C</v>
      </c>
      <c r="O247" s="299">
        <f>Invoerscherm!H814</f>
        <v>0</v>
      </c>
      <c r="P247" s="300">
        <f>Invoerscherm!I814</f>
        <v>0</v>
      </c>
      <c r="S247" s="48"/>
      <c r="V247" s="6">
        <f>'Datablad 1'!B39</f>
        <v>1.7</v>
      </c>
      <c r="W247" s="6">
        <f>V247</f>
        <v>1.7</v>
      </c>
      <c r="X247" s="35" t="str">
        <f>'Datablad 1'!C39</f>
        <v>ton/m3</v>
      </c>
      <c r="Y247" s="6">
        <f>'Datablad 2'!C2</f>
        <v>3.67</v>
      </c>
      <c r="Z247" s="6">
        <f>Y247</f>
        <v>3.67</v>
      </c>
      <c r="AA247" s="35" t="str">
        <f>'Datablad 2'!D2</f>
        <v>kg CO2 / kg C</v>
      </c>
      <c r="AB247" s="299">
        <f>'Datablad 2'!C3</f>
        <v>0.44</v>
      </c>
      <c r="AC247" s="299">
        <f>AB247</f>
        <v>0.44</v>
      </c>
      <c r="AD247" s="300" t="str">
        <f>'Datablad 2'!D3</f>
        <v>kg CO2 / kg CaCO3</v>
      </c>
    </row>
    <row r="248" spans="1:24" ht="12.75">
      <c r="A248" s="113" t="s">
        <v>444</v>
      </c>
      <c r="B248" s="113" t="s">
        <v>428</v>
      </c>
      <c r="C248" s="273">
        <f>$G$248*$I$248*$K$248*V248*1.5</f>
        <v>0</v>
      </c>
      <c r="D248" s="273">
        <f>$G$248*$I$248*$K$248*W248*1.5</f>
        <v>0</v>
      </c>
      <c r="E248" s="7" t="s">
        <v>427</v>
      </c>
      <c r="G248" s="6">
        <f>Invoerscherm!C821</f>
        <v>0</v>
      </c>
      <c r="H248" s="35" t="str">
        <f>Invoerscherm!D821</f>
        <v>km</v>
      </c>
      <c r="I248" s="6">
        <f>Invoerscherm!C825</f>
        <v>0</v>
      </c>
      <c r="J248" s="35" t="str">
        <f>Invoerscherm!D825</f>
        <v>aantal keer rijden</v>
      </c>
      <c r="K248" s="44">
        <f>Invoerscherm!C829</f>
        <v>0</v>
      </c>
      <c r="L248" s="106" t="str">
        <f>Invoerscherm!D829</f>
        <v>L brandstof / km</v>
      </c>
      <c r="M248" s="82" t="str">
        <f>Invoerscherm!C833</f>
        <v>&lt;&lt; maak keuze &gt;&gt;</v>
      </c>
      <c r="N248" s="11" t="s">
        <v>308</v>
      </c>
      <c r="S248" s="48"/>
      <c r="V248" s="44">
        <f>IF($M$248="Diesel",'Datablad 1'!B2+'Datablad 1'!B11,IF($M$248="Benzine",'Datablad 1'!B3+'Datablad 1'!B12,IF($M$248="LPG",'Datablad 1'!B4+'Datablad 1'!B13,IF($M$248="Biodiesel",'Datablad 1'!B8+'Datablad 1'!B17,0))))</f>
        <v>0</v>
      </c>
      <c r="W248" s="44">
        <f>V248</f>
        <v>0</v>
      </c>
      <c r="X248" s="35" t="s">
        <v>496</v>
      </c>
    </row>
    <row r="249" ht="12.75">
      <c r="S249" s="48"/>
    </row>
    <row r="250" spans="1:19" ht="12.75">
      <c r="A250" s="120" t="s">
        <v>463</v>
      </c>
      <c r="B250" s="121"/>
      <c r="C250" s="274">
        <f>SUM(C216:C235)</f>
        <v>0</v>
      </c>
      <c r="D250" s="274">
        <f>SUM(D216:D235)</f>
        <v>0</v>
      </c>
      <c r="S250" s="48"/>
    </row>
    <row r="251" spans="1:19" ht="12.75">
      <c r="A251" s="120" t="s">
        <v>542</v>
      </c>
      <c r="B251" s="121"/>
      <c r="C251" s="274">
        <f>SUM(C236:C245)</f>
        <v>0</v>
      </c>
      <c r="D251" s="274">
        <f>SUM(D236:D245)</f>
        <v>0</v>
      </c>
      <c r="S251" s="48"/>
    </row>
    <row r="252" spans="1:19" ht="12.75">
      <c r="A252" s="120" t="s">
        <v>546</v>
      </c>
      <c r="C252" s="274">
        <f>SUM(C246:C247)</f>
        <v>0</v>
      </c>
      <c r="D252" s="274">
        <f>SUM(D246:D247)</f>
        <v>0</v>
      </c>
      <c r="S252" s="48"/>
    </row>
    <row r="253" spans="1:19" ht="12.75">
      <c r="A253" s="122" t="s">
        <v>444</v>
      </c>
      <c r="C253" s="274">
        <f>C248</f>
        <v>0</v>
      </c>
      <c r="D253" s="274">
        <f>D248</f>
        <v>0</v>
      </c>
      <c r="S253" s="48"/>
    </row>
    <row r="254" spans="3:19" ht="12.75">
      <c r="C254" s="277"/>
      <c r="D254" s="277"/>
      <c r="S254" s="48"/>
    </row>
    <row r="255" ht="12.75">
      <c r="S255" s="48"/>
    </row>
    <row r="256" ht="12.75">
      <c r="S256" s="48"/>
    </row>
    <row r="257" spans="3:39" s="42" customFormat="1" ht="12.75">
      <c r="C257" s="280"/>
      <c r="D257" s="280"/>
      <c r="H257" s="281"/>
      <c r="J257" s="281"/>
      <c r="L257" s="281"/>
      <c r="N257" s="281"/>
      <c r="P257" s="281"/>
      <c r="Q257" s="282"/>
      <c r="R257" s="281"/>
      <c r="S257" s="283"/>
      <c r="T257" s="281"/>
      <c r="X257" s="281"/>
      <c r="AA257" s="281"/>
      <c r="AD257" s="281"/>
      <c r="AG257" s="281"/>
      <c r="AJ257" s="281"/>
      <c r="AM257" s="281"/>
    </row>
    <row r="258" spans="1:39" ht="15.75">
      <c r="A258" s="87" t="s">
        <v>605</v>
      </c>
      <c r="G258" s="13" t="s">
        <v>227</v>
      </c>
      <c r="H258" s="9"/>
      <c r="I258" s="3"/>
      <c r="J258" s="9"/>
      <c r="K258" s="3"/>
      <c r="L258" s="9"/>
      <c r="M258" s="3"/>
      <c r="N258" s="9"/>
      <c r="O258" s="3"/>
      <c r="P258" s="9"/>
      <c r="Q258" s="9"/>
      <c r="R258" s="9"/>
      <c r="S258" s="9"/>
      <c r="T258" s="9"/>
      <c r="U258" s="34"/>
      <c r="V258" s="1" t="s">
        <v>228</v>
      </c>
      <c r="W258" s="1"/>
      <c r="X258" s="9"/>
      <c r="Y258" s="3"/>
      <c r="Z258" s="3"/>
      <c r="AA258" s="9"/>
      <c r="AB258" s="3"/>
      <c r="AC258" s="3"/>
      <c r="AD258" s="9"/>
      <c r="AE258" s="3"/>
      <c r="AF258" s="3"/>
      <c r="AG258" s="9"/>
      <c r="AH258" s="3"/>
      <c r="AI258" s="3"/>
      <c r="AJ258" s="9"/>
      <c r="AK258" s="3"/>
      <c r="AL258" s="3"/>
      <c r="AM258" s="9"/>
    </row>
    <row r="259" spans="7:38" ht="12.75">
      <c r="G259"/>
      <c r="I259"/>
      <c r="K259"/>
      <c r="M259"/>
      <c r="O259"/>
      <c r="Q259" s="35"/>
      <c r="S259" s="35"/>
      <c r="U259" s="36"/>
      <c r="V259"/>
      <c r="W259"/>
      <c r="Y259"/>
      <c r="Z259"/>
      <c r="AB259"/>
      <c r="AC259"/>
      <c r="AE259"/>
      <c r="AF259"/>
      <c r="AH259"/>
      <c r="AI259"/>
      <c r="AK259"/>
      <c r="AL259"/>
    </row>
    <row r="260" spans="1:39" ht="12.75">
      <c r="A260" s="14" t="s">
        <v>229</v>
      </c>
      <c r="B260" s="14" t="s">
        <v>230</v>
      </c>
      <c r="C260" s="272" t="s">
        <v>231</v>
      </c>
      <c r="D260" s="272" t="s">
        <v>232</v>
      </c>
      <c r="E260" s="37" t="s">
        <v>233</v>
      </c>
      <c r="G260" s="14" t="s">
        <v>234</v>
      </c>
      <c r="H260" s="37" t="s">
        <v>233</v>
      </c>
      <c r="I260" s="14" t="s">
        <v>235</v>
      </c>
      <c r="J260" s="37" t="s">
        <v>233</v>
      </c>
      <c r="K260" s="14" t="s">
        <v>236</v>
      </c>
      <c r="L260" s="37" t="s">
        <v>233</v>
      </c>
      <c r="M260" s="14" t="s">
        <v>237</v>
      </c>
      <c r="N260" s="37" t="s">
        <v>233</v>
      </c>
      <c r="O260" s="14" t="s">
        <v>238</v>
      </c>
      <c r="P260" s="37" t="s">
        <v>233</v>
      </c>
      <c r="Q260" s="14" t="s">
        <v>421</v>
      </c>
      <c r="R260" s="37" t="s">
        <v>233</v>
      </c>
      <c r="S260" s="14" t="s">
        <v>507</v>
      </c>
      <c r="T260" s="37" t="s">
        <v>233</v>
      </c>
      <c r="U260" s="38"/>
      <c r="V260" s="14" t="s">
        <v>239</v>
      </c>
      <c r="W260" s="14" t="s">
        <v>240</v>
      </c>
      <c r="X260" s="37" t="s">
        <v>233</v>
      </c>
      <c r="Y260" s="14" t="s">
        <v>241</v>
      </c>
      <c r="Z260" s="14" t="s">
        <v>242</v>
      </c>
      <c r="AA260" s="37" t="s">
        <v>233</v>
      </c>
      <c r="AB260" s="14" t="s">
        <v>243</v>
      </c>
      <c r="AC260" s="14" t="s">
        <v>244</v>
      </c>
      <c r="AD260" s="37" t="s">
        <v>233</v>
      </c>
      <c r="AE260" s="14" t="s">
        <v>245</v>
      </c>
      <c r="AF260" s="14" t="s">
        <v>246</v>
      </c>
      <c r="AG260" s="37" t="s">
        <v>233</v>
      </c>
      <c r="AH260" s="14" t="s">
        <v>247</v>
      </c>
      <c r="AI260" s="14" t="s">
        <v>248</v>
      </c>
      <c r="AJ260" s="37" t="s">
        <v>233</v>
      </c>
      <c r="AK260" s="14" t="s">
        <v>249</v>
      </c>
      <c r="AL260" s="14" t="s">
        <v>250</v>
      </c>
      <c r="AM260" s="37" t="s">
        <v>233</v>
      </c>
    </row>
    <row r="261" spans="1:24" ht="12.75">
      <c r="A261" s="48" t="s">
        <v>444</v>
      </c>
      <c r="B261" s="48" t="s">
        <v>606</v>
      </c>
      <c r="C261" s="273">
        <f>$G$261*$I$261*$K$261*V261*1.5</f>
        <v>0</v>
      </c>
      <c r="D261" s="273">
        <f>$G$261*$I$261*$K$261*W261*1.5</f>
        <v>0</v>
      </c>
      <c r="E261" s="7" t="s">
        <v>427</v>
      </c>
      <c r="G261" s="6">
        <f>Invoerscherm!E843</f>
        <v>0</v>
      </c>
      <c r="H261" s="35" t="str">
        <f>Invoerscherm!F843</f>
        <v>dagen</v>
      </c>
      <c r="I261" s="6">
        <f>Invoerscherm!E845</f>
        <v>0</v>
      </c>
      <c r="J261" s="35" t="str">
        <f>Invoerscherm!F845</f>
        <v>km</v>
      </c>
      <c r="K261" s="6">
        <f>Invoerscherm!E847</f>
        <v>0</v>
      </c>
      <c r="L261" s="35" t="str">
        <f>Invoerscherm!F847</f>
        <v>L brandstof / km</v>
      </c>
      <c r="M261" s="114" t="str">
        <f>Invoerscherm!E849</f>
        <v>&lt;&lt; maak keuze &gt;&gt;</v>
      </c>
      <c r="N261" s="11" t="s">
        <v>422</v>
      </c>
      <c r="V261" s="44">
        <f>IF($M$261="Diesel",'Datablad 1'!B2+'Datablad 1'!B11,IF($M$261="Benzine",'Datablad 1'!B3+'Datablad 1'!B12,IF($M$261="LPG",'Datablad 1'!B4+'Datablad 1'!B13,IF($M$261="Biodiesel",'Datablad 1'!B8+'Datablad 1'!B17,0))))</f>
        <v>0</v>
      </c>
      <c r="W261" s="44">
        <f>V261</f>
        <v>0</v>
      </c>
      <c r="X261" s="35" t="s">
        <v>496</v>
      </c>
    </row>
    <row r="262" spans="1:24" ht="12.75">
      <c r="A262" s="48" t="s">
        <v>444</v>
      </c>
      <c r="B262" s="48" t="s">
        <v>607</v>
      </c>
      <c r="C262" s="273">
        <f>$G$262*$I$262*$K$262*V262*1.5</f>
        <v>0</v>
      </c>
      <c r="D262" s="273">
        <f>$G$262*$I$262*$K$262*W262*1.5</f>
        <v>0</v>
      </c>
      <c r="E262" s="7" t="s">
        <v>427</v>
      </c>
      <c r="G262" s="6">
        <f>Invoerscherm!E853</f>
        <v>0</v>
      </c>
      <c r="H262" s="35" t="str">
        <f>Invoerscherm!F853</f>
        <v>dagen</v>
      </c>
      <c r="I262" s="6">
        <f>Invoerscherm!E855</f>
        <v>0</v>
      </c>
      <c r="J262" s="35" t="str">
        <f>Invoerscherm!F855</f>
        <v>km</v>
      </c>
      <c r="K262" s="6">
        <f>Invoerscherm!E857</f>
        <v>0</v>
      </c>
      <c r="L262" s="35" t="str">
        <f>Invoerscherm!F857</f>
        <v>L brandstof / km</v>
      </c>
      <c r="M262" s="114" t="str">
        <f>Invoerscherm!E859</f>
        <v>&lt;&lt; maak keuze &gt;&gt;</v>
      </c>
      <c r="N262" s="11" t="s">
        <v>422</v>
      </c>
      <c r="V262" s="44">
        <f>IF($M$262="Diesel",'Datablad 1'!B2+'Datablad 1'!B11,IF($M$262="Benzine",'Datablad 1'!B3+'Datablad 1'!B12,IF($M$262="LPG",'Datablad 1'!B4+'Datablad 1'!B13,IF($M$262="Biodiesel",'Datablad 1'!B8+'Datablad 1'!B17,0))))</f>
        <v>0</v>
      </c>
      <c r="W262" s="44">
        <f>V262</f>
        <v>0</v>
      </c>
      <c r="X262" s="35" t="s">
        <v>496</v>
      </c>
    </row>
    <row r="263" spans="1:24" ht="12.75">
      <c r="A263" s="48" t="s">
        <v>444</v>
      </c>
      <c r="B263" s="48" t="s">
        <v>608</v>
      </c>
      <c r="C263" s="273">
        <f>$G$263*$I$263*$K$263*V263*1.5</f>
        <v>0</v>
      </c>
      <c r="D263" s="273">
        <f>$G$263*$I$263*$K$263*W263*1.5</f>
        <v>0</v>
      </c>
      <c r="E263" s="7" t="s">
        <v>427</v>
      </c>
      <c r="G263" s="6">
        <f>Invoerscherm!E863</f>
        <v>0</v>
      </c>
      <c r="H263" s="35" t="str">
        <f>Invoerscherm!F863</f>
        <v>dagen</v>
      </c>
      <c r="I263" s="6">
        <f>Invoerscherm!E865</f>
        <v>0</v>
      </c>
      <c r="J263" s="35" t="str">
        <f>Invoerscherm!F865</f>
        <v>km</v>
      </c>
      <c r="K263" s="6">
        <f>Invoerscherm!E867</f>
        <v>0</v>
      </c>
      <c r="L263" s="35" t="str">
        <f>Invoerscherm!F867</f>
        <v>L brandstof / km</v>
      </c>
      <c r="M263" s="114" t="str">
        <f>Invoerscherm!E869</f>
        <v>&lt;&lt; maak keuze &gt;&gt;</v>
      </c>
      <c r="N263" s="11" t="s">
        <v>422</v>
      </c>
      <c r="V263" s="44">
        <f>IF($M$263="Diesel",'Datablad 1'!B2+'Datablad 1'!B11,IF($M$263="Benzine",'Datablad 1'!B3+'Datablad 1'!B12,IF($M$263="LPG",'Datablad 1'!B4+'Datablad 1'!B13,IF($M$263="Biodiesel",'Datablad 1'!B8+'Datablad 1'!B17,0))))</f>
        <v>0</v>
      </c>
      <c r="W263" s="44">
        <f>V263</f>
        <v>0</v>
      </c>
      <c r="X263" s="35" t="s">
        <v>496</v>
      </c>
    </row>
    <row r="264" spans="1:24" ht="12.75">
      <c r="A264" s="48" t="s">
        <v>444</v>
      </c>
      <c r="B264" s="48" t="s">
        <v>609</v>
      </c>
      <c r="C264" s="273">
        <f>$G$264*$I$264*$K$264*V264*1.5</f>
        <v>0</v>
      </c>
      <c r="D264" s="273">
        <f>$G$264*$I$264*$K$264*W264*1.5</f>
        <v>0</v>
      </c>
      <c r="E264" s="7" t="s">
        <v>427</v>
      </c>
      <c r="G264" s="6">
        <f>Invoerscherm!E873</f>
        <v>0</v>
      </c>
      <c r="H264" s="35" t="str">
        <f>Invoerscherm!F873</f>
        <v>dagen</v>
      </c>
      <c r="I264" s="6">
        <f>Invoerscherm!E875</f>
        <v>0</v>
      </c>
      <c r="J264" s="35" t="str">
        <f>Invoerscherm!F875</f>
        <v>km</v>
      </c>
      <c r="K264" s="6">
        <f>Invoerscherm!E877</f>
        <v>0</v>
      </c>
      <c r="L264" s="35" t="str">
        <f>Invoerscherm!F877</f>
        <v>L brandstof / km</v>
      </c>
      <c r="M264" s="114" t="str">
        <f>Invoerscherm!E879</f>
        <v>&lt;&lt; maak keuze &gt;&gt;</v>
      </c>
      <c r="N264" s="11" t="s">
        <v>422</v>
      </c>
      <c r="V264" s="44">
        <f>IF($M$264="Diesel",'Datablad 1'!B2+'Datablad 1'!B11,IF($M$264="Benzine",'Datablad 1'!B3+'Datablad 1'!B12,IF($M$264="LPG",'Datablad 1'!B4+'Datablad 1'!B13,IF($M$264="Biodiesel",'Datablad 1'!B8+'Datablad 1'!B17,0))))</f>
        <v>0</v>
      </c>
      <c r="W264" s="44">
        <f>V264</f>
        <v>0</v>
      </c>
      <c r="X264" s="35" t="s">
        <v>496</v>
      </c>
    </row>
    <row r="265" spans="1:24" ht="12.75">
      <c r="A265" s="48" t="s">
        <v>444</v>
      </c>
      <c r="B265" s="48" t="s">
        <v>610</v>
      </c>
      <c r="C265" s="273">
        <f>$G$265*$I$265*$K$265*V265*1.5</f>
        <v>0</v>
      </c>
      <c r="D265" s="273">
        <f>$G$265*$I$265*$K$265*W265*1.5</f>
        <v>0</v>
      </c>
      <c r="E265" s="7" t="s">
        <v>427</v>
      </c>
      <c r="G265" s="6">
        <f>Invoerscherm!E886</f>
        <v>0</v>
      </c>
      <c r="H265" s="35" t="str">
        <f>Invoerscherm!F886</f>
        <v>dagen</v>
      </c>
      <c r="I265" s="6">
        <f>Invoerscherm!E888</f>
        <v>0</v>
      </c>
      <c r="J265" s="35" t="str">
        <f>Invoerscherm!F888</f>
        <v>km</v>
      </c>
      <c r="K265" s="6">
        <f>Invoerscherm!E890</f>
        <v>0</v>
      </c>
      <c r="L265" s="35" t="str">
        <f>Invoerscherm!F890</f>
        <v>L brandstof / km</v>
      </c>
      <c r="M265" s="114" t="str">
        <f>Invoerscherm!E892</f>
        <v>&lt;&lt; maak keuze &gt;&gt;</v>
      </c>
      <c r="N265" s="11" t="s">
        <v>422</v>
      </c>
      <c r="V265" s="44">
        <f>IF($M$265="Diesel",'Datablad 1'!B2+'Datablad 1'!B11,IF($M$265="Benzine",'Datablad 1'!B3+'Datablad 1'!B12,IF($M$265="LPG",'Datablad 1'!B4+'Datablad 1'!B13,IF($M$265="Biodiesel",'Datablad 1'!B8+'Datablad 1'!B17,0))))</f>
        <v>0</v>
      </c>
      <c r="W265" s="44">
        <f>V265</f>
        <v>0</v>
      </c>
      <c r="X265" s="35" t="s">
        <v>496</v>
      </c>
    </row>
    <row r="267" spans="1:4" ht="12.75">
      <c r="A267" s="122" t="s">
        <v>669</v>
      </c>
      <c r="C267" s="274">
        <f aca="true" t="shared" si="20" ref="C267:D271">C261</f>
        <v>0</v>
      </c>
      <c r="D267" s="274">
        <f t="shared" si="20"/>
        <v>0</v>
      </c>
    </row>
    <row r="268" spans="1:4" ht="12.75">
      <c r="A268" s="122" t="s">
        <v>670</v>
      </c>
      <c r="C268" s="274">
        <f t="shared" si="20"/>
        <v>0</v>
      </c>
      <c r="D268" s="274">
        <f t="shared" si="20"/>
        <v>0</v>
      </c>
    </row>
    <row r="269" spans="1:4" ht="12.75">
      <c r="A269" s="122" t="s">
        <v>671</v>
      </c>
      <c r="C269" s="274">
        <f t="shared" si="20"/>
        <v>0</v>
      </c>
      <c r="D269" s="274">
        <f t="shared" si="20"/>
        <v>0</v>
      </c>
    </row>
    <row r="270" spans="1:4" ht="12.75">
      <c r="A270" s="122" t="s">
        <v>672</v>
      </c>
      <c r="C270" s="274">
        <f t="shared" si="20"/>
        <v>0</v>
      </c>
      <c r="D270" s="274">
        <f t="shared" si="20"/>
        <v>0</v>
      </c>
    </row>
    <row r="271" spans="1:4" ht="12.75">
      <c r="A271" s="122" t="s">
        <v>673</v>
      </c>
      <c r="C271" s="274">
        <f t="shared" si="20"/>
        <v>0</v>
      </c>
      <c r="D271" s="274">
        <f t="shared" si="20"/>
        <v>0</v>
      </c>
    </row>
    <row r="272" spans="3:39" s="42" customFormat="1" ht="12.75">
      <c r="C272" s="280"/>
      <c r="D272" s="280"/>
      <c r="H272" s="281"/>
      <c r="J272" s="281"/>
      <c r="L272" s="281"/>
      <c r="N272" s="281"/>
      <c r="P272" s="281"/>
      <c r="Q272" s="282"/>
      <c r="R272" s="281"/>
      <c r="S272" s="282"/>
      <c r="T272" s="281"/>
      <c r="X272" s="281"/>
      <c r="AA272" s="281"/>
      <c r="AD272" s="281"/>
      <c r="AG272" s="281"/>
      <c r="AJ272" s="281"/>
      <c r="AM272" s="281"/>
    </row>
    <row r="274" ht="12.75" hidden="1"/>
    <row r="275" spans="1:2" ht="12.75" hidden="1">
      <c r="A275" s="92"/>
      <c r="B275" s="6" t="s">
        <v>694</v>
      </c>
    </row>
    <row r="276" spans="1:2" ht="12.75" hidden="1">
      <c r="A276" s="112"/>
      <c r="B276" s="6" t="s">
        <v>725</v>
      </c>
    </row>
    <row r="277" spans="1:2" ht="12.75" hidden="1">
      <c r="A277" s="93"/>
      <c r="B277" s="6" t="s">
        <v>695</v>
      </c>
    </row>
    <row r="278" ht="12.75" hidden="1"/>
    <row r="280" spans="3:39" s="42" customFormat="1" ht="12.75">
      <c r="C280" s="280"/>
      <c r="D280" s="280"/>
      <c r="H280" s="281"/>
      <c r="J280" s="281"/>
      <c r="L280" s="281"/>
      <c r="N280" s="281"/>
      <c r="P280" s="281"/>
      <c r="Q280" s="282"/>
      <c r="R280" s="281"/>
      <c r="S280" s="282"/>
      <c r="T280" s="281"/>
      <c r="X280" s="281"/>
      <c r="AA280" s="281"/>
      <c r="AD280" s="281"/>
      <c r="AG280" s="281"/>
      <c r="AJ280" s="281"/>
      <c r="AM280" s="281"/>
    </row>
    <row r="281" spans="1:39" ht="15.75">
      <c r="A281" s="87" t="s">
        <v>696</v>
      </c>
      <c r="G281" s="13" t="s">
        <v>227</v>
      </c>
      <c r="H281" s="9"/>
      <c r="I281" s="3"/>
      <c r="J281" s="9"/>
      <c r="K281" s="3"/>
      <c r="L281" s="9"/>
      <c r="M281" s="3"/>
      <c r="N281" s="9"/>
      <c r="O281" s="3"/>
      <c r="P281" s="9"/>
      <c r="Q281" s="9"/>
      <c r="R281" s="9"/>
      <c r="S281" s="9"/>
      <c r="T281" s="9"/>
      <c r="U281" s="34"/>
      <c r="V281" s="1" t="s">
        <v>228</v>
      </c>
      <c r="W281" s="1"/>
      <c r="X281" s="9"/>
      <c r="Y281" s="3"/>
      <c r="Z281" s="3"/>
      <c r="AA281" s="9"/>
      <c r="AB281" s="3"/>
      <c r="AC281" s="3"/>
      <c r="AD281" s="9"/>
      <c r="AE281" s="3"/>
      <c r="AF281" s="3"/>
      <c r="AG281" s="9"/>
      <c r="AH281" s="3"/>
      <c r="AI281" s="3"/>
      <c r="AJ281" s="9"/>
      <c r="AK281" s="3"/>
      <c r="AL281" s="3"/>
      <c r="AM281" s="9"/>
    </row>
    <row r="282" spans="7:38" ht="12.75">
      <c r="G282"/>
      <c r="I282"/>
      <c r="K282"/>
      <c r="M282"/>
      <c r="O282"/>
      <c r="Q282" s="35"/>
      <c r="S282" s="35"/>
      <c r="U282" s="36"/>
      <c r="V282"/>
      <c r="W282"/>
      <c r="Y282"/>
      <c r="Z282"/>
      <c r="AB282"/>
      <c r="AC282"/>
      <c r="AE282"/>
      <c r="AF282"/>
      <c r="AH282"/>
      <c r="AI282"/>
      <c r="AK282"/>
      <c r="AL282"/>
    </row>
    <row r="283" spans="1:39" ht="12.75">
      <c r="A283" s="14" t="s">
        <v>229</v>
      </c>
      <c r="B283" s="14" t="s">
        <v>230</v>
      </c>
      <c r="C283" s="272" t="s">
        <v>231</v>
      </c>
      <c r="D283" s="272" t="s">
        <v>232</v>
      </c>
      <c r="E283" s="37" t="s">
        <v>233</v>
      </c>
      <c r="G283" s="14" t="s">
        <v>234</v>
      </c>
      <c r="H283" s="37" t="s">
        <v>233</v>
      </c>
      <c r="I283" s="14" t="s">
        <v>235</v>
      </c>
      <c r="J283" s="37" t="s">
        <v>233</v>
      </c>
      <c r="K283" s="14" t="s">
        <v>236</v>
      </c>
      <c r="L283" s="37" t="s">
        <v>233</v>
      </c>
      <c r="M283" s="14" t="s">
        <v>237</v>
      </c>
      <c r="N283" s="37" t="s">
        <v>233</v>
      </c>
      <c r="O283" s="14" t="s">
        <v>238</v>
      </c>
      <c r="P283" s="37" t="s">
        <v>233</v>
      </c>
      <c r="Q283" s="14" t="s">
        <v>421</v>
      </c>
      <c r="R283" s="37" t="s">
        <v>233</v>
      </c>
      <c r="S283" s="14" t="s">
        <v>507</v>
      </c>
      <c r="T283" s="37" t="s">
        <v>233</v>
      </c>
      <c r="U283" s="38"/>
      <c r="V283" s="14" t="s">
        <v>239</v>
      </c>
      <c r="W283" s="14" t="s">
        <v>240</v>
      </c>
      <c r="X283" s="37" t="s">
        <v>233</v>
      </c>
      <c r="Y283" s="14" t="s">
        <v>241</v>
      </c>
      <c r="Z283" s="14" t="s">
        <v>242</v>
      </c>
      <c r="AA283" s="37" t="s">
        <v>233</v>
      </c>
      <c r="AB283" s="14" t="s">
        <v>243</v>
      </c>
      <c r="AC283" s="14" t="s">
        <v>244</v>
      </c>
      <c r="AD283" s="37" t="s">
        <v>233</v>
      </c>
      <c r="AE283" s="14" t="s">
        <v>245</v>
      </c>
      <c r="AF283" s="14" t="s">
        <v>246</v>
      </c>
      <c r="AG283" s="37" t="s">
        <v>233</v>
      </c>
      <c r="AH283" s="14" t="s">
        <v>247</v>
      </c>
      <c r="AI283" s="14" t="s">
        <v>248</v>
      </c>
      <c r="AJ283" s="37" t="s">
        <v>233</v>
      </c>
      <c r="AK283" s="14" t="s">
        <v>249</v>
      </c>
      <c r="AL283" s="14" t="s">
        <v>250</v>
      </c>
      <c r="AM283" s="37" t="s">
        <v>233</v>
      </c>
    </row>
    <row r="284" spans="1:24" ht="12.75">
      <c r="A284" s="6" t="s">
        <v>444</v>
      </c>
      <c r="B284" s="6" t="s">
        <v>714</v>
      </c>
      <c r="C284" s="273">
        <f>$G$284*$I$284*V284</f>
        <v>0</v>
      </c>
      <c r="D284" s="273">
        <f>$G$284*$I$284*W284</f>
        <v>0</v>
      </c>
      <c r="E284" s="7" t="s">
        <v>427</v>
      </c>
      <c r="G284" s="6">
        <f>Invoerscherm!E903</f>
        <v>0</v>
      </c>
      <c r="H284" s="6" t="str">
        <f>Invoerscherm!F903</f>
        <v>km</v>
      </c>
      <c r="I284" s="6">
        <f>Invoerscherm!G903</f>
        <v>0</v>
      </c>
      <c r="J284" s="6" t="str">
        <f>Invoerscherm!H903</f>
        <v>L brandstof / km</v>
      </c>
      <c r="K284" s="82" t="str">
        <f>Invoerscherm!M903</f>
        <v>&lt;&lt; maak keuze &gt;&gt;</v>
      </c>
      <c r="L284" s="11" t="s">
        <v>422</v>
      </c>
      <c r="V284" s="6">
        <f>IF($K$284="Diesel",'Datablad 1'!B2+'Datablad 1'!B11,IF($K$284="Benzine",'Datablad 1'!B3+'Datablad 1'!B12,IF($K$284="LPG",'Datablad 1'!B4+'Datablad 1'!B13,IF($K$284="Biodiesel",'Datablad 1'!B8+'Datablad 1'!B17,0))))</f>
        <v>0</v>
      </c>
      <c r="W284" s="6">
        <f>V284</f>
        <v>0</v>
      </c>
      <c r="X284" s="35" t="s">
        <v>496</v>
      </c>
    </row>
    <row r="285" spans="1:24" ht="12.75">
      <c r="A285" s="6" t="s">
        <v>444</v>
      </c>
      <c r="B285" s="6" t="s">
        <v>715</v>
      </c>
      <c r="C285" s="273">
        <f>$G$285*$I$285*V285</f>
        <v>0</v>
      </c>
      <c r="D285" s="273">
        <f>$G$285*$I$285*W285</f>
        <v>0</v>
      </c>
      <c r="E285" s="7" t="s">
        <v>427</v>
      </c>
      <c r="G285" s="6">
        <f>Invoerscherm!E905</f>
        <v>0</v>
      </c>
      <c r="H285" s="6" t="str">
        <f>Invoerscherm!F905</f>
        <v>km</v>
      </c>
      <c r="I285" s="6">
        <f>Invoerscherm!G905</f>
        <v>0</v>
      </c>
      <c r="J285" s="6" t="str">
        <f>Invoerscherm!H905</f>
        <v>L brandstof / km</v>
      </c>
      <c r="K285" s="82" t="str">
        <f>Invoerscherm!M905</f>
        <v>&lt;&lt; maak keuze &gt;&gt;</v>
      </c>
      <c r="L285" s="11" t="s">
        <v>422</v>
      </c>
      <c r="V285" s="6">
        <f>IF($K$285="Diesel",'Datablad 1'!B2+'Datablad 1'!B11,IF($K$285="Benzine",'Datablad 1'!B3+'Datablad 1'!B12,IF($K$285="LPG",'Datablad 1'!B4+'Datablad 1'!B13,IF($K$285="Biodiesel",'Datablad 1'!B8+'Datablad 1'!B17,0))))</f>
        <v>0</v>
      </c>
      <c r="W285" s="6">
        <f>V285</f>
        <v>0</v>
      </c>
      <c r="X285" s="35" t="s">
        <v>496</v>
      </c>
    </row>
    <row r="286" spans="1:24" ht="12.75">
      <c r="A286" s="6" t="s">
        <v>444</v>
      </c>
      <c r="B286" s="6" t="s">
        <v>716</v>
      </c>
      <c r="C286" s="273">
        <f>$G$286*$I$286*V286</f>
        <v>0</v>
      </c>
      <c r="D286" s="273">
        <f>$G$286*$I$286*W286</f>
        <v>0</v>
      </c>
      <c r="E286" s="7" t="s">
        <v>427</v>
      </c>
      <c r="G286" s="6">
        <f>Invoerscherm!E907</f>
        <v>0</v>
      </c>
      <c r="H286" s="6" t="str">
        <f>Invoerscherm!F907</f>
        <v>km</v>
      </c>
      <c r="I286" s="6">
        <f>Invoerscherm!G907</f>
        <v>0</v>
      </c>
      <c r="J286" s="6" t="str">
        <f>Invoerscherm!H907</f>
        <v>L brandstof / km</v>
      </c>
      <c r="K286" s="82" t="str">
        <f>Invoerscherm!M907</f>
        <v>&lt;&lt; maak keuze &gt;&gt;</v>
      </c>
      <c r="L286" s="11" t="s">
        <v>422</v>
      </c>
      <c r="V286" s="6">
        <f>IF($K$286="Diesel",'Datablad 1'!B2+'Datablad 1'!B11,IF($K$286="Benzine",'Datablad 1'!B3+'Datablad 1'!B12,IF($K$286="LPG",'Datablad 1'!B4+'Datablad 1'!B13,IF($K$286="Biodiesel",'Datablad 1'!B8+'Datablad 1'!B17,0))))</f>
        <v>0</v>
      </c>
      <c r="W286" s="6">
        <f>V286</f>
        <v>0</v>
      </c>
      <c r="X286" s="35" t="s">
        <v>496</v>
      </c>
    </row>
    <row r="287" spans="1:24" ht="12.75">
      <c r="A287" s="6" t="s">
        <v>444</v>
      </c>
      <c r="B287" s="6" t="s">
        <v>717</v>
      </c>
      <c r="C287" s="273">
        <f>$G$287*$I$287*V287</f>
        <v>0</v>
      </c>
      <c r="D287" s="273">
        <f>$G$287*$I$287*W287</f>
        <v>0</v>
      </c>
      <c r="E287" s="7" t="s">
        <v>427</v>
      </c>
      <c r="G287" s="6">
        <f>Invoerscherm!E909</f>
        <v>0</v>
      </c>
      <c r="H287" s="6" t="str">
        <f>Invoerscherm!F909</f>
        <v>km</v>
      </c>
      <c r="I287" s="6">
        <f>Invoerscherm!G909</f>
        <v>0</v>
      </c>
      <c r="J287" s="6" t="str">
        <f>Invoerscherm!H909</f>
        <v>L brandstof / km</v>
      </c>
      <c r="K287" s="82" t="str">
        <f>Invoerscherm!M909</f>
        <v>&lt;&lt; maak keuze &gt;&gt;</v>
      </c>
      <c r="L287" s="11" t="s">
        <v>422</v>
      </c>
      <c r="V287" s="6">
        <f>IF($K$287="Diesel",'Datablad 1'!B2+'Datablad 1'!B11,IF($K$287="Benzine",'Datablad 1'!B3+'Datablad 1'!B12,IF($K$287="LPG",'Datablad 1'!B4+'Datablad 1'!B13,IF($K$287="Biodiesel",'Datablad 1'!B8+'Datablad 1'!B17,0))))</f>
        <v>0</v>
      </c>
      <c r="W287" s="6">
        <f>V287</f>
        <v>0</v>
      </c>
      <c r="X287" s="35" t="s">
        <v>496</v>
      </c>
    </row>
    <row r="288" spans="1:30" ht="12.75">
      <c r="A288" s="6" t="s">
        <v>724</v>
      </c>
      <c r="B288" s="6" t="s">
        <v>699</v>
      </c>
      <c r="C288" s="287">
        <f>((((((PI()*POWER($S$288/10,2))-(PI()*POWER(($S$288-V288)/10,2)))*($G$288*100))*Y288)/100)*AB288)</f>
        <v>0</v>
      </c>
      <c r="D288" s="287">
        <f>((((((PI()*POWER($S$288/10,2))-(PI()*POWER(($S$288-W288)/10,2)))*($G$288*100))*Z288)/100)*AC288)</f>
        <v>0</v>
      </c>
      <c r="E288" s="7" t="s">
        <v>427</v>
      </c>
      <c r="G288" s="6">
        <f>Invoerscherm!E916</f>
        <v>0</v>
      </c>
      <c r="H288" s="6" t="str">
        <f>Invoerscherm!F916</f>
        <v>m</v>
      </c>
      <c r="I288" s="82" t="str">
        <f>Invoerscherm!G916</f>
        <v>&lt;&lt; maak keuze &gt;&gt;</v>
      </c>
      <c r="J288" s="11" t="s">
        <v>464</v>
      </c>
      <c r="K288" s="82" t="str">
        <f>Invoerscherm!J916</f>
        <v>&lt;&lt; maak keuze &gt;&gt;</v>
      </c>
      <c r="L288" s="11" t="s">
        <v>465</v>
      </c>
      <c r="S288" s="48">
        <f>IF(K288="32 mm",32/2,IF(K288="50 mm",50/2,IF(K288="90 mm",90/2,IF(K288="110 mm",110/2,IF(K288="250 mm",250/2,0)))))</f>
        <v>0</v>
      </c>
      <c r="T288" s="35" t="s">
        <v>508</v>
      </c>
      <c r="V288" s="6">
        <f>IF($K$288="32 mm",'Datablad 3'!C142,IF($K$288="50 mm",'Datablad 3'!C143,IF($K$288="90 mm",'Datablad 3'!C144,IF($K$288="110 mm",'Datablad 3'!C145,IF($K$288="250 mm",'Datablad 3'!C146,0)))))</f>
        <v>0</v>
      </c>
      <c r="W288" s="6">
        <f>IF($K$288="32 mm",'Datablad 3'!D142,IF($K$288="50 mm",'Datablad 3'!D143,IF($K$288="90 mm",'Datablad 3'!D144,IF($K$288="110 mm",'Datablad 3'!D145,IF($K$288="250 mm",'Datablad 3'!D146,0)))))</f>
        <v>0</v>
      </c>
      <c r="X288" s="6">
        <f>IF($K$288="32 mm",'Datablad 3'!E142,IF($K$288="50 mm",'Datablad 3'!E143,IF($K$288="90 mm",'Datablad 3'!E144,IF($K$288="110 mm",'Datablad 3'!E145,IF($K$288="250 mm",'Datablad 3'!E146,0)))))</f>
        <v>0</v>
      </c>
      <c r="Y288" s="6">
        <f>IF($I$288="PVC",'Datablad 1'!B45,IF($I$288="HDPE",'Datablad 1'!B46,IF($I$288="LDPE",'Datablad 1'!B47,IF($I$288="RVS",'Datablad 1'!D52,0))))</f>
        <v>0</v>
      </c>
      <c r="Z288" s="6">
        <f>Y288</f>
        <v>0</v>
      </c>
      <c r="AA288" s="6">
        <f>IF($I$288="PVC",'Datablad 1'!C45,IF($I$288="HDPE",'Datablad 1'!C46,IF($I$288="LDPE",'Datablad 1'!C47,IF($I$288="RVS",'Datablad 1'!E52,0))))</f>
        <v>0</v>
      </c>
      <c r="AB288" s="91">
        <f>IF($I$288="PVC",'Datablad 3'!C137,IF($I$288="HDPE",'Datablad 3'!C138,IF($I$288="LDPE",'Datablad 3'!C139,IF($I$288="RVS",'Datablad 3'!C140,0))))</f>
        <v>0</v>
      </c>
      <c r="AC288" s="91">
        <f>IF($I$288="PVC",'Datablad 3'!D137,IF($I$288="HDPE",'Datablad 3'!D138,IF($I$288="LDPE",'Datablad 3'!D139,IF($I$288="RVS",'Datablad 3'!D140,0))))</f>
        <v>0</v>
      </c>
      <c r="AD288" s="91">
        <f>IF($I$288="PVC",'Datablad 3'!E137,IF($I$288="HDPE",'Datablad 3'!E138,IF($I$288="LDPE",'Datablad 3'!E139,IF($I$288="RVS",'Datablad 3'!E140,0))))</f>
        <v>0</v>
      </c>
    </row>
    <row r="289" spans="1:30" ht="12.75">
      <c r="A289" s="6" t="s">
        <v>724</v>
      </c>
      <c r="B289" s="6" t="s">
        <v>700</v>
      </c>
      <c r="C289" s="287">
        <f>((((((PI()*POWER($S$289/10,2))-(PI()*POWER(($S$289-V289)/10,2)))*($G$289*100))*Y289)/100)*AB289)</f>
        <v>0</v>
      </c>
      <c r="D289" s="287">
        <f>((((((PI()*POWER($S$289/10,2))-(PI()*POWER(($S$289-W289)/10,2)))*($G$289*100))*Z289)/100)*AC289)</f>
        <v>0</v>
      </c>
      <c r="E289" s="7" t="s">
        <v>427</v>
      </c>
      <c r="G289" s="6">
        <f>Invoerscherm!E918</f>
        <v>0</v>
      </c>
      <c r="H289" s="6" t="str">
        <f>Invoerscherm!F918</f>
        <v>m</v>
      </c>
      <c r="I289" s="82" t="str">
        <f>Invoerscherm!G918</f>
        <v>&lt;&lt; maak keuze &gt;&gt;</v>
      </c>
      <c r="J289" s="11" t="s">
        <v>464</v>
      </c>
      <c r="K289" s="82" t="str">
        <f>Invoerscherm!J918</f>
        <v>&lt;&lt; maak keuze &gt;&gt;</v>
      </c>
      <c r="L289" s="11" t="s">
        <v>465</v>
      </c>
      <c r="S289" s="48">
        <f>IF(K289="32 mm",32/2,IF(K289="50 mm",50/2,IF(K289="90 mm",90/2,IF(K289="110 mm",110/2,IF(K289="250 mm",250/2,0)))))</f>
        <v>0</v>
      </c>
      <c r="T289" s="35" t="s">
        <v>508</v>
      </c>
      <c r="V289" s="6">
        <f>IF($K$289="32 mm",'Datablad 3'!C142,IF($K$289="50 mm",'Datablad 3'!C143,IF($K$289="90 mm",'Datablad 3'!C144,IF($K$289="110 mm",'Datablad 3'!C145,IF($K$289="250 mm",'Datablad 3'!C146,0)))))</f>
        <v>0</v>
      </c>
      <c r="W289" s="6">
        <f>IF($K$289="32 mm",'Datablad 3'!D142,IF($K$289="50 mm",'Datablad 3'!D143,IF($K$289="90 mm",'Datablad 3'!D144,IF($K$289="110 mm",'Datablad 3'!D145,IF($K$289="250 mm",'Datablad 3'!D146,0)))))</f>
        <v>0</v>
      </c>
      <c r="X289" s="6">
        <f>IF($K$289="32 mm",'Datablad 3'!E142,IF($K$289="50 mm",'Datablad 3'!E143,IF($K$289="90 mm",'Datablad 3'!E144,IF($K$289="110 mm",'Datablad 3'!E145,IF($K$289="250 mm",'Datablad 3'!E146,0)))))</f>
        <v>0</v>
      </c>
      <c r="Y289" s="6">
        <f>IF($I$289="PVC",'Datablad 1'!B45,IF($I$289="HDPE",'Datablad 1'!B46,IF($I$289="LDPE",'Datablad 1'!B47,IF($I$289="RVS",'Datablad 1'!D52,0))))</f>
        <v>0</v>
      </c>
      <c r="Z289" s="6">
        <f>Y289</f>
        <v>0</v>
      </c>
      <c r="AA289" s="6">
        <f>IF($I$289="PVC",'Datablad 1'!C45,IF($I$289="HDPE",'Datablad 1'!C46,IF($I$289="LDPE",'Datablad 1'!C47,IF($I$289="RVS",'Datablad 1'!E52,0))))</f>
        <v>0</v>
      </c>
      <c r="AB289" s="91">
        <f>IF($I$289="PVC",'Datablad 3'!C137,IF($I$289="HDPE",'Datablad 3'!C138,IF($I$289="LDPE",'Datablad 3'!C139,IF($I$289="RVS",'Datablad 3'!C140,0))))</f>
        <v>0</v>
      </c>
      <c r="AC289" s="91">
        <f>IF($I$289="PVC",'Datablad 3'!D137,IF($I$289="HDPE",'Datablad 3'!D138,IF($I$289="LDPE",'Datablad 3'!D139,IF($I$289="RVS",'Datablad 3'!D140,0))))</f>
        <v>0</v>
      </c>
      <c r="AD289" s="91">
        <f>IF($I$289="PVC",'Datablad 3'!E137,IF($I$289="HDPE",'Datablad 3'!E138,IF($I$289="LDPE",'Datablad 3'!E139,IF($I$289="RVS",'Datablad 3'!E140,0))))</f>
        <v>0</v>
      </c>
    </row>
    <row r="290" spans="1:30" ht="12.75">
      <c r="A290" s="6" t="s">
        <v>724</v>
      </c>
      <c r="B290" s="6" t="s">
        <v>701</v>
      </c>
      <c r="C290" s="287">
        <f>((((((PI()*POWER($S$290/10,2))-(PI()*POWER(($S$290-V290)/10,2)))*($G$290*100))*Y290)/100)*AB290)</f>
        <v>0</v>
      </c>
      <c r="D290" s="287">
        <f>((((((PI()*POWER($S$290/10,2))-(PI()*POWER(($S$290-W290)/10,2)))*($G$290*100))*Z290)/100)*AC290)</f>
        <v>0</v>
      </c>
      <c r="E290" s="7" t="s">
        <v>427</v>
      </c>
      <c r="G290" s="6">
        <f>Invoerscherm!E920</f>
        <v>0</v>
      </c>
      <c r="H290" s="6" t="str">
        <f>Invoerscherm!F920</f>
        <v>m</v>
      </c>
      <c r="I290" s="82" t="str">
        <f>Invoerscherm!G920</f>
        <v>&lt;&lt; maak keuze &gt;&gt;</v>
      </c>
      <c r="J290" s="11" t="s">
        <v>464</v>
      </c>
      <c r="K290" s="82" t="str">
        <f>Invoerscherm!J920</f>
        <v>&lt;&lt; maak keuze &gt;&gt;</v>
      </c>
      <c r="L290" s="11" t="s">
        <v>465</v>
      </c>
      <c r="S290" s="48">
        <f aca="true" t="shared" si="21" ref="S290:S295">IF(K290="32 mm",32/2,IF(K290="50 mm",50/2,IF(K290="90 mm",90/2,IF(K290="110 mm",110/2,IF(K290="250 mm",250/2,0)))))</f>
        <v>0</v>
      </c>
      <c r="T290" s="35" t="s">
        <v>508</v>
      </c>
      <c r="V290" s="6">
        <f>IF($K$290="32 mm",'Datablad 3'!C142,IF($K$290="50 mm",'Datablad 3'!C143,IF($K$290="90 mm",'Datablad 3'!C144,IF($K$290="110 mm",'Datablad 3'!C145,IF($K$290="250 mm",'Datablad 3'!C146,0)))))</f>
        <v>0</v>
      </c>
      <c r="W290" s="6">
        <f>IF($K$290="32 mm",'Datablad 3'!D142,IF($K$290="50 mm",'Datablad 3'!D143,IF($K$290="90 mm",'Datablad 3'!D144,IF($K$290="110 mm",'Datablad 3'!D145,IF($K$290="250 mm",'Datablad 3'!D146,0)))))</f>
        <v>0</v>
      </c>
      <c r="X290" s="6">
        <f>IF($K$290="32 mm",'Datablad 3'!E142,IF($K$290="50 mm",'Datablad 3'!E143,IF($K$290="90 mm",'Datablad 3'!E144,IF($K$290="110 mm",'Datablad 3'!E145,IF($K$290="250 mm",'Datablad 3'!E146,0)))))</f>
        <v>0</v>
      </c>
      <c r="Y290" s="6">
        <f>IF($I$290="PVC",'Datablad 1'!B45,IF($I$290="HDPE",'Datablad 1'!B46,IF($I$290="LDPE",'Datablad 1'!B47,IF($I$290="RVS",'Datablad 1'!D52,0))))</f>
        <v>0</v>
      </c>
      <c r="Z290" s="6">
        <f aca="true" t="shared" si="22" ref="Z290:Z295">Y290</f>
        <v>0</v>
      </c>
      <c r="AA290" s="6">
        <f>IF($I$290="PVC",'Datablad 1'!C45,IF($I$290="HDPE",'Datablad 1'!C46,IF($I$290="LDPE",'Datablad 1'!C47,IF($I$290="RVS",'Datablad 1'!E52,0))))</f>
        <v>0</v>
      </c>
      <c r="AB290" s="91">
        <f>IF($I$290="PVC",'Datablad 3'!C137,IF($I$290="HDPE",'Datablad 3'!C138,IF($I$290="LDPE",'Datablad 3'!C139,IF($I$290="RVS",'Datablad 3'!C140,0))))</f>
        <v>0</v>
      </c>
      <c r="AC290" s="91">
        <f>IF($I$290="PVC",'Datablad 3'!D137,IF($I$290="HDPE",'Datablad 3'!D138,IF($I$290="LDPE",'Datablad 3'!D139,IF($I$290="RVS",'Datablad 3'!D140,0))))</f>
        <v>0</v>
      </c>
      <c r="AD290" s="91">
        <f>IF($I$290="PVC",'Datablad 3'!E137,IF($I$290="HDPE",'Datablad 3'!E138,IF($I$290="LDPE",'Datablad 3'!E139,IF($I$290="RVS",'Datablad 3'!E140,0))))</f>
        <v>0</v>
      </c>
    </row>
    <row r="291" spans="1:30" ht="12.75">
      <c r="A291" s="6" t="s">
        <v>724</v>
      </c>
      <c r="B291" s="6" t="s">
        <v>702</v>
      </c>
      <c r="C291" s="287">
        <f>((((((PI()*POWER($S$291/10,2))-(PI()*POWER(($S$291-V291)/10,2)))*($G$291*100))*Y291)/100)*AB291)</f>
        <v>0</v>
      </c>
      <c r="D291" s="287">
        <f>((((((PI()*POWER($S$291/10,2))-(PI()*POWER(($S$291-W291)/10,2)))*($G$291*100))*Z291)/100)*AC291)</f>
        <v>0</v>
      </c>
      <c r="E291" s="7" t="s">
        <v>427</v>
      </c>
      <c r="G291" s="6">
        <f>Invoerscherm!E922</f>
        <v>0</v>
      </c>
      <c r="H291" s="6" t="str">
        <f>Invoerscherm!F922</f>
        <v>m</v>
      </c>
      <c r="I291" s="82" t="str">
        <f>Invoerscherm!G922</f>
        <v>&lt;&lt; maak keuze &gt;&gt;</v>
      </c>
      <c r="J291" s="11" t="s">
        <v>464</v>
      </c>
      <c r="K291" s="82" t="str">
        <f>Invoerscherm!J922</f>
        <v>&lt;&lt; maak keuze &gt;&gt;</v>
      </c>
      <c r="L291" s="11" t="s">
        <v>465</v>
      </c>
      <c r="S291" s="48">
        <f t="shared" si="21"/>
        <v>0</v>
      </c>
      <c r="T291" s="35" t="s">
        <v>508</v>
      </c>
      <c r="V291" s="6">
        <f>IF($K$291="32 mm",'Datablad 3'!C142,IF($K$291="50 mm",'Datablad 3'!C143,IF($K$291="90 mm",'Datablad 3'!C144,IF($K$291="110 mm",'Datablad 3'!C145,IF($K$291="250 mm",'Datablad 3'!C146,0)))))</f>
        <v>0</v>
      </c>
      <c r="W291" s="6">
        <f>IF($K$291="32 mm",'Datablad 3'!D142,IF($K$291="50 mm",'Datablad 3'!D143,IF($K$291="90 mm",'Datablad 3'!D144,IF($K$291="110 mm",'Datablad 3'!D145,IF($K$291="250 mm",'Datablad 3'!D146,0)))))</f>
        <v>0</v>
      </c>
      <c r="X291" s="6">
        <f>IF($K$291="32 mm",'Datablad 3'!E142,IF($K$291="50 mm",'Datablad 3'!E143,IF($K$291="90 mm",'Datablad 3'!E144,IF($K$291="110 mm",'Datablad 3'!E145,IF($K$291="250 mm",'Datablad 3'!E146,0)))))</f>
        <v>0</v>
      </c>
      <c r="Y291" s="6">
        <f>IF($I$291="PVC",'Datablad 1'!B45,IF($I$291="HDPE",'Datablad 1'!B46,IF($I$291="LDPE",'Datablad 1'!B47,IF($I$291="RVS",'Datablad 1'!D52,0))))</f>
        <v>0</v>
      </c>
      <c r="Z291" s="6">
        <f t="shared" si="22"/>
        <v>0</v>
      </c>
      <c r="AA291" s="6">
        <f>IF($I$291="PVC",'Datablad 1'!C45,IF($I$291="HDPE",'Datablad 1'!C46,IF($I$291="LDPE",'Datablad 1'!C47,IF($I$291="RVS",'Datablad 1'!E52,0))))</f>
        <v>0</v>
      </c>
      <c r="AB291" s="91">
        <f>IF($I$291="PVC",'Datablad 3'!C137,IF($I$291="HDPE",'Datablad 3'!C138,IF($I$291="LDPE",'Datablad 3'!C139,IF($I$291="RVS",'Datablad 3'!C140,0))))</f>
        <v>0</v>
      </c>
      <c r="AC291" s="91">
        <f>IF($I$291="PVC",'Datablad 3'!D137,IF($I$291="HDPE",'Datablad 3'!D138,IF($I$291="LDPE",'Datablad 3'!D139,IF($I$291="RVS",'Datablad 3'!D140,0))))</f>
        <v>0</v>
      </c>
      <c r="AD291" s="91">
        <f>IF($I$291="PVC",'Datablad 3'!E137,IF($I$291="HDPE",'Datablad 3'!E138,IF($I$291="LDPE",'Datablad 3'!E139,IF($I$291="RVS",'Datablad 3'!E140,0))))</f>
        <v>0</v>
      </c>
    </row>
    <row r="292" spans="1:30" ht="12.75">
      <c r="A292" s="6" t="s">
        <v>724</v>
      </c>
      <c r="B292" s="6" t="s">
        <v>704</v>
      </c>
      <c r="C292" s="287">
        <f>((((((PI()*POWER($S$292/10,2))-(PI()*POWER(($S$292-V292)/10,2)))*($G$292*100))*Y292)/100)*AB292)</f>
        <v>0</v>
      </c>
      <c r="D292" s="287">
        <f>((((((PI()*POWER($S$292/10,2))-(PI()*POWER(($S$292-W292)/10,2)))*($G$292*100))*Z292)/100)*AC292)</f>
        <v>0</v>
      </c>
      <c r="E292" s="7" t="s">
        <v>427</v>
      </c>
      <c r="G292" s="6">
        <f>Invoerscherm!E924</f>
        <v>0</v>
      </c>
      <c r="H292" s="6" t="str">
        <f>Invoerscherm!F924</f>
        <v>m</v>
      </c>
      <c r="I292" s="82" t="str">
        <f>Invoerscherm!G924</f>
        <v>&lt;&lt; maak keuze &gt;&gt;</v>
      </c>
      <c r="J292" s="11" t="s">
        <v>464</v>
      </c>
      <c r="K292" s="82" t="str">
        <f>Invoerscherm!J924</f>
        <v>&lt;&lt; maak keuze &gt;&gt;</v>
      </c>
      <c r="L292" s="11" t="s">
        <v>465</v>
      </c>
      <c r="S292" s="48">
        <f t="shared" si="21"/>
        <v>0</v>
      </c>
      <c r="T292" s="35" t="s">
        <v>508</v>
      </c>
      <c r="V292" s="6">
        <f>IF($K$292="32 mm",'Datablad 3'!C142,IF($K$292="50 mm",'Datablad 3'!C143,IF($K$292="90 mm",'Datablad 3'!C144,IF($K$292="110 mm",'Datablad 3'!C145,IF($K$292="250 mm",'Datablad 3'!C146,0)))))</f>
        <v>0</v>
      </c>
      <c r="W292" s="6">
        <f>IF($K$292="32 mm",'Datablad 3'!D142,IF($K$292="50 mm",'Datablad 3'!D143,IF($K$292="90 mm",'Datablad 3'!D144,IF($K$292="110 mm",'Datablad 3'!D145,IF($K$292="250 mm",'Datablad 3'!D146,0)))))</f>
        <v>0</v>
      </c>
      <c r="X292" s="6">
        <f>IF($K$292="32 mm",'Datablad 3'!E142,IF($K$292="50 mm",'Datablad 3'!E143,IF($K$292="90 mm",'Datablad 3'!E144,IF($K$292="110 mm",'Datablad 3'!E145,IF($K$292="250 mm",'Datablad 3'!E146,0)))))</f>
        <v>0</v>
      </c>
      <c r="Y292" s="6">
        <f>IF($I$292="PVC",'Datablad 1'!B45,IF($I$292="HDPE",'Datablad 1'!B46,IF($I$292="LDPE",'Datablad 1'!B47,IF($I$292="RVS",'Datablad 1'!D52,0))))</f>
        <v>0</v>
      </c>
      <c r="Z292" s="6">
        <f t="shared" si="22"/>
        <v>0</v>
      </c>
      <c r="AA292" s="6">
        <f>IF($I$292="PVC",'Datablad 1'!C45,IF($I$292="HDPE",'Datablad 1'!C46,IF($I$292="LDPE",'Datablad 1'!C47,IF($I$292="RVS",'Datablad 1'!E52,0))))</f>
        <v>0</v>
      </c>
      <c r="AB292" s="91">
        <f>IF($I$292="PVC",'Datablad 3'!C137,IF($I$292="HDPE",'Datablad 3'!C138,IF($I$292="LDPE",'Datablad 3'!C139,IF($I$292="RVS",'Datablad 3'!C140,0))))</f>
        <v>0</v>
      </c>
      <c r="AC292" s="91">
        <f>IF($I$292="PVC",'Datablad 3'!D137,IF($I$292="HDPE",'Datablad 3'!D138,IF($I$292="LDPE",'Datablad 3'!D139,IF($I$292="RVS",'Datablad 3'!D140,0))))</f>
        <v>0</v>
      </c>
      <c r="AD292" s="91">
        <f>IF($I$292="PVC",'Datablad 3'!E137,IF($I$292="HDPE",'Datablad 3'!E138,IF($I$292="LDPE",'Datablad 3'!E139,IF($I$292="RVS",'Datablad 3'!E140,0))))</f>
        <v>0</v>
      </c>
    </row>
    <row r="293" spans="1:30" ht="12.75">
      <c r="A293" s="6" t="s">
        <v>724</v>
      </c>
      <c r="B293" s="6" t="s">
        <v>705</v>
      </c>
      <c r="C293" s="287">
        <f>((((((PI()*POWER($S$293/10,2))-(PI()*POWER(($S$293-V293)/10,2)))*($G$293*100))*Y293)/100)*AB293)</f>
        <v>0</v>
      </c>
      <c r="D293" s="287">
        <f>((((((PI()*POWER($S$293/10,2))-(PI()*POWER(($S$293-W293)/10,2)))*($G$293*100))*Z293)/100)*AC293)</f>
        <v>0</v>
      </c>
      <c r="E293" s="7" t="s">
        <v>427</v>
      </c>
      <c r="G293" s="6">
        <f>Invoerscherm!E926</f>
        <v>0</v>
      </c>
      <c r="H293" s="6" t="str">
        <f>Invoerscherm!F926</f>
        <v>m</v>
      </c>
      <c r="I293" s="82" t="str">
        <f>Invoerscherm!G926</f>
        <v>&lt;&lt; maak keuze &gt;&gt;</v>
      </c>
      <c r="J293" s="11" t="s">
        <v>464</v>
      </c>
      <c r="K293" s="82" t="str">
        <f>Invoerscherm!J926</f>
        <v>&lt;&lt; maak keuze &gt;&gt;</v>
      </c>
      <c r="L293" s="11" t="s">
        <v>465</v>
      </c>
      <c r="S293" s="48">
        <f t="shared" si="21"/>
        <v>0</v>
      </c>
      <c r="T293" s="35" t="s">
        <v>508</v>
      </c>
      <c r="V293" s="6">
        <f>IF($K$293="32 mm",'Datablad 3'!C142,IF($K$293="50 mm",'Datablad 3'!C143,IF($K$293="90 mm",'Datablad 3'!C144,IF($K$293="110 mm",'Datablad 3'!C145,IF($K$293="250 mm",'Datablad 3'!C146,0)))))</f>
        <v>0</v>
      </c>
      <c r="W293" s="6">
        <f>IF($K$293="32 mm",'Datablad 3'!D142,IF($K$293="50 mm",'Datablad 3'!D143,IF($K$293="90 mm",'Datablad 3'!D144,IF($K$293="110 mm",'Datablad 3'!D145,IF($K$293="250 mm",'Datablad 3'!D146,0)))))</f>
        <v>0</v>
      </c>
      <c r="X293" s="6">
        <f>IF($K$293="32 mm",'Datablad 3'!E142,IF($K$293="50 mm",'Datablad 3'!E143,IF($K$293="90 mm",'Datablad 3'!E144,IF($K$293="110 mm",'Datablad 3'!E145,IF($K$293="250 mm",'Datablad 3'!E146,0)))))</f>
        <v>0</v>
      </c>
      <c r="Y293" s="6">
        <f>IF($I$293="PVC",'Datablad 1'!B45,IF($I$293="HDPE",'Datablad 1'!B46,IF($I$293="LDPE",'Datablad 1'!B47,IF($I$293="RVS",'Datablad 1'!D52,0))))</f>
        <v>0</v>
      </c>
      <c r="Z293" s="6">
        <f t="shared" si="22"/>
        <v>0</v>
      </c>
      <c r="AA293" s="6">
        <f>IF($I$293="PVC",'Datablad 1'!C45,IF($I$293="HDPE",'Datablad 1'!C46,IF($I$293="LDPE",'Datablad 1'!C47,IF($I$293="RVS",'Datablad 1'!E52,0))))</f>
        <v>0</v>
      </c>
      <c r="AB293" s="91">
        <f>IF($I$293="PVC",'Datablad 3'!C137,IF($I$293="HDPE",'Datablad 3'!C138,IF($I$293="LDPE",'Datablad 3'!C139,IF($I$293="RVS",'Datablad 3'!C140,0))))</f>
        <v>0</v>
      </c>
      <c r="AC293" s="91">
        <f>IF($I$293="PVC",'Datablad 3'!D137,IF($I$293="HDPE",'Datablad 3'!D138,IF($I$293="LDPE",'Datablad 3'!D139,IF($I$293="RVS",'Datablad 3'!D140,0))))</f>
        <v>0</v>
      </c>
      <c r="AD293" s="91">
        <f>IF($I$293="PVC",'Datablad 3'!E137,IF($I$293="HDPE",'Datablad 3'!E138,IF($I$293="LDPE",'Datablad 3'!E139,IF($I$293="RVS",'Datablad 3'!E140,0))))</f>
        <v>0</v>
      </c>
    </row>
    <row r="294" spans="1:30" ht="12.75">
      <c r="A294" s="6" t="s">
        <v>724</v>
      </c>
      <c r="B294" s="6" t="s">
        <v>706</v>
      </c>
      <c r="C294" s="287">
        <f>((((((PI()*POWER($S$294/10,2))-(PI()*POWER(($S$294-V294)/10,2)))*($G$294*100))*Y294)/100)*AB294)</f>
        <v>0</v>
      </c>
      <c r="D294" s="287">
        <f>((((((PI()*POWER($S$294/10,2))-(PI()*POWER(($S$294-W294)/10,2)))*($G$294*100))*Z294)/100)*AC294)</f>
        <v>0</v>
      </c>
      <c r="E294" s="7" t="s">
        <v>427</v>
      </c>
      <c r="G294" s="6">
        <f>Invoerscherm!E928</f>
        <v>0</v>
      </c>
      <c r="H294" s="6" t="str">
        <f>Invoerscherm!F928</f>
        <v>m</v>
      </c>
      <c r="I294" s="82" t="str">
        <f>Invoerscherm!G928</f>
        <v>&lt;&lt; maak keuze &gt;&gt;</v>
      </c>
      <c r="J294" s="11" t="s">
        <v>464</v>
      </c>
      <c r="K294" s="82" t="str">
        <f>Invoerscherm!J928</f>
        <v>&lt;&lt; maak keuze &gt;&gt;</v>
      </c>
      <c r="L294" s="11" t="s">
        <v>465</v>
      </c>
      <c r="S294" s="48">
        <f t="shared" si="21"/>
        <v>0</v>
      </c>
      <c r="T294" s="35" t="s">
        <v>508</v>
      </c>
      <c r="V294" s="6">
        <f>IF($K$294="32 mm",'Datablad 3'!C142,IF($K$294="50 mm",'Datablad 3'!C143,IF($K$294="90 mm",'Datablad 3'!C144,IF($K$294="110 mm",'Datablad 3'!C145,IF($K$294="250 mm",'Datablad 3'!C146,0)))))</f>
        <v>0</v>
      </c>
      <c r="W294" s="6">
        <f>IF($K$294="32 mm",'Datablad 3'!D142,IF($K$294="50 mm",'Datablad 3'!D143,IF($K$294="90 mm",'Datablad 3'!D144,IF($K$294="110 mm",'Datablad 3'!D145,IF($K$294="250 mm",'Datablad 3'!D146,0)))))</f>
        <v>0</v>
      </c>
      <c r="X294" s="6">
        <f>IF($K$294="32 mm",'Datablad 3'!E142,IF($K$294="50 mm",'Datablad 3'!E143,IF($K$294="90 mm",'Datablad 3'!E144,IF($K$294="110 mm",'Datablad 3'!E145,IF($K$294="250 mm",'Datablad 3'!E146,0)))))</f>
        <v>0</v>
      </c>
      <c r="Y294" s="6">
        <f>IF($I$294="PVC",'Datablad 1'!B45,IF($I$294="HDPE",'Datablad 1'!B46,IF($I$294="LDPE",'Datablad 1'!B47,IF($I$294="RVS",'Datablad 1'!D52,0))))</f>
        <v>0</v>
      </c>
      <c r="Z294" s="6">
        <f t="shared" si="22"/>
        <v>0</v>
      </c>
      <c r="AA294" s="6">
        <f>IF($I$294="PVC",'Datablad 1'!C45,IF($I$294="HDPE",'Datablad 1'!C46,IF($I$294="LDPE",'Datablad 1'!C47,IF($I$294="RVS",'Datablad 1'!E52,0))))</f>
        <v>0</v>
      </c>
      <c r="AB294" s="91">
        <f>IF($I$294="PVC",'Datablad 3'!C137,IF($I$294="HDPE",'Datablad 3'!C138,IF($I$294="LDPE",'Datablad 3'!C139,IF($I$294="RVS",'Datablad 3'!C140,0))))</f>
        <v>0</v>
      </c>
      <c r="AC294" s="91">
        <f>IF($I$294="PVC",'Datablad 3'!D137,IF($I$294="HDPE",'Datablad 3'!D138,IF($I$294="LDPE",'Datablad 3'!D139,IF($I$294="RVS",'Datablad 3'!D140,0))))</f>
        <v>0</v>
      </c>
      <c r="AD294" s="91">
        <f>IF($I$294="PVC",'Datablad 3'!E137,IF($I$294="HDPE",'Datablad 3'!E138,IF($I$294="LDPE",'Datablad 3'!E139,IF($I$294="RVS",'Datablad 3'!E140,0))))</f>
        <v>0</v>
      </c>
    </row>
    <row r="295" spans="1:30" ht="12.75">
      <c r="A295" s="6" t="s">
        <v>724</v>
      </c>
      <c r="B295" s="6" t="s">
        <v>707</v>
      </c>
      <c r="C295" s="287">
        <f>((((((PI()*POWER($S$295/10,2))-(PI()*POWER(($S$295-V295)/10,2)))*($G$295*100))*Y295)/100)*AB295)</f>
        <v>0</v>
      </c>
      <c r="D295" s="287">
        <f>((((((PI()*POWER($S$295/10,2))-(PI()*POWER(($S$295-W295)/10,2)))*($G$295*100))*Z295)/100)*AC295)</f>
        <v>0</v>
      </c>
      <c r="E295" s="7" t="s">
        <v>427</v>
      </c>
      <c r="G295" s="6">
        <f>Invoerscherm!E930</f>
        <v>0</v>
      </c>
      <c r="H295" s="6" t="str">
        <f>Invoerscherm!F930</f>
        <v>m</v>
      </c>
      <c r="I295" s="82" t="str">
        <f>Invoerscherm!G930</f>
        <v>&lt;&lt; maak keuze &gt;&gt;</v>
      </c>
      <c r="J295" s="11" t="s">
        <v>464</v>
      </c>
      <c r="K295" s="82" t="str">
        <f>Invoerscherm!J930</f>
        <v>&lt;&lt; maak keuze &gt;&gt;</v>
      </c>
      <c r="L295" s="11" t="s">
        <v>465</v>
      </c>
      <c r="S295" s="48">
        <f t="shared" si="21"/>
        <v>0</v>
      </c>
      <c r="T295" s="35" t="s">
        <v>508</v>
      </c>
      <c r="V295" s="6">
        <f>IF($K$295="32 mm",'Datablad 3'!C142,IF($K$295="50 mm",'Datablad 3'!C143,IF($K$295="90 mm",'Datablad 3'!C144,IF($K$295="110 mm",'Datablad 3'!C145,IF($K$295="250 mm",'Datablad 3'!C146,0)))))</f>
        <v>0</v>
      </c>
      <c r="W295" s="6">
        <f>IF($K$295="32 mm",'Datablad 3'!D142,IF($K$295="50 mm",'Datablad 3'!D143,IF($K$295="90 mm",'Datablad 3'!D144,IF($K$295="110 mm",'Datablad 3'!D145,IF($K$295="250 mm",'Datablad 3'!D146,0)))))</f>
        <v>0</v>
      </c>
      <c r="X295" s="6">
        <f>IF($K$295="32 mm",'Datablad 3'!E142,IF($K$295="50 mm",'Datablad 3'!E143,IF($K$295="90 mm",'Datablad 3'!E144,IF($K$295="110 mm",'Datablad 3'!E145,IF($K$295="250 mm",'Datablad 3'!E146,0)))))</f>
        <v>0</v>
      </c>
      <c r="Y295" s="6">
        <f>IF($I$295="PVC",'Datablad 1'!B45,IF($I$295="HDPE",'Datablad 1'!B46,IF($I$295="LDPE",'Datablad 1'!B47,IF($I$295="RVS",'Datablad 1'!D52,0))))</f>
        <v>0</v>
      </c>
      <c r="Z295" s="6">
        <f t="shared" si="22"/>
        <v>0</v>
      </c>
      <c r="AA295" s="6">
        <f>IF($I$295="PVC",'Datablad 1'!C45,IF($I$295="HDPE",'Datablad 1'!C46,IF($I$295="LDPE",'Datablad 1'!C47,IF($I$295="RVS",'Datablad 1'!E52,0))))</f>
        <v>0</v>
      </c>
      <c r="AB295" s="91">
        <f>IF($I$295="PVC",'Datablad 3'!C137,IF($I$295="HDPE",'Datablad 3'!C138,IF($I$295="LDPE",'Datablad 3'!C139,IF($I$295="RVS",'Datablad 3'!C140,0))))</f>
        <v>0</v>
      </c>
      <c r="AC295" s="91">
        <f>IF($I$295="PVC",'Datablad 3'!D137,IF($I$295="HDPE",'Datablad 3'!D138,IF($I$295="LDPE",'Datablad 3'!D139,IF($I$295="RVS",'Datablad 3'!D140,0))))</f>
        <v>0</v>
      </c>
      <c r="AD295" s="91">
        <f>IF($I$295="PVC",'Datablad 3'!E137,IF($I$295="HDPE",'Datablad 3'!E138,IF($I$295="LDPE",'Datablad 3'!E139,IF($I$295="RVS",'Datablad 3'!E140,0))))</f>
        <v>0</v>
      </c>
    </row>
    <row r="296" spans="1:27" ht="12.75">
      <c r="A296" s="6" t="s">
        <v>718</v>
      </c>
      <c r="B296" s="161" t="s">
        <v>476</v>
      </c>
      <c r="C296" s="287">
        <f>$G$296*V296*Y296</f>
        <v>0</v>
      </c>
      <c r="D296" s="287">
        <f>$G$296*W296*Z296</f>
        <v>0</v>
      </c>
      <c r="E296" s="7" t="s">
        <v>427</v>
      </c>
      <c r="G296" s="6">
        <f>Invoerscherm!E935</f>
        <v>0</v>
      </c>
      <c r="H296" s="6" t="str">
        <f>Invoerscherm!F935</f>
        <v>m</v>
      </c>
      <c r="I296" s="82" t="str">
        <f>Invoerscherm!G935</f>
        <v>&lt;&lt; maak keuze &gt;&gt;</v>
      </c>
      <c r="J296" s="11" t="s">
        <v>422</v>
      </c>
      <c r="V296" s="6">
        <f>'Datablad 3'!C127</f>
        <v>0.2</v>
      </c>
      <c r="W296" s="6">
        <f>'Datablad 3'!D127</f>
        <v>0.2</v>
      </c>
      <c r="X296" s="6" t="str">
        <f>'Datablad 3'!E127</f>
        <v>L diesel / m</v>
      </c>
      <c r="Y296" s="6">
        <f>IF($I$296="Diesel",'Datablad 1'!B2+'Datablad 1'!B11,IF($I$296="Biodiesel",'Datablad 1'!B8+'Datablad 1'!B17,0))</f>
        <v>0</v>
      </c>
      <c r="Z296" s="6">
        <f aca="true" t="shared" si="23" ref="Z296:Z301">Y296</f>
        <v>0</v>
      </c>
      <c r="AA296" s="35" t="s">
        <v>496</v>
      </c>
    </row>
    <row r="297" spans="1:27" ht="12.75">
      <c r="A297" s="6" t="s">
        <v>718</v>
      </c>
      <c r="B297" s="161" t="s">
        <v>475</v>
      </c>
      <c r="C297" s="287">
        <f>$G$297*V297*Y297</f>
        <v>0</v>
      </c>
      <c r="D297" s="287">
        <f>$G$297*W297*Z297</f>
        <v>0</v>
      </c>
      <c r="E297" s="7" t="s">
        <v>427</v>
      </c>
      <c r="G297" s="6">
        <f>Invoerscherm!E937</f>
        <v>0</v>
      </c>
      <c r="H297" s="6" t="str">
        <f>Invoerscherm!F937</f>
        <v>m</v>
      </c>
      <c r="I297" s="82" t="str">
        <f>Invoerscherm!G937</f>
        <v>&lt;&lt; maak keuze &gt;&gt;</v>
      </c>
      <c r="J297" s="11" t="s">
        <v>422</v>
      </c>
      <c r="V297" s="6">
        <f>'Datablad 3'!C128</f>
        <v>0.2</v>
      </c>
      <c r="W297" s="6">
        <f>'Datablad 3'!D128</f>
        <v>0.2</v>
      </c>
      <c r="X297" s="6" t="str">
        <f>'Datablad 3'!E128</f>
        <v>L diesel / m</v>
      </c>
      <c r="Y297" s="6">
        <f>IF($I$297="Diesel",'Datablad 1'!B2+'Datablad 1'!B11,IF($I$297="Biodiesel",'Datablad 1'!B8+'Datablad 1'!B17,0))</f>
        <v>0</v>
      </c>
      <c r="Z297" s="6">
        <f t="shared" si="23"/>
        <v>0</v>
      </c>
      <c r="AA297" s="35" t="s">
        <v>496</v>
      </c>
    </row>
    <row r="298" spans="1:27" ht="12.75">
      <c r="A298" s="6" t="s">
        <v>718</v>
      </c>
      <c r="B298" s="161" t="s">
        <v>474</v>
      </c>
      <c r="C298" s="287">
        <f>$G$298*V298*Y298</f>
        <v>0</v>
      </c>
      <c r="D298" s="287">
        <f>$G$298*W298*Z298</f>
        <v>0</v>
      </c>
      <c r="E298" s="7" t="s">
        <v>427</v>
      </c>
      <c r="G298" s="6">
        <f>Invoerscherm!E939</f>
        <v>0</v>
      </c>
      <c r="H298" s="6" t="str">
        <f>Invoerscherm!F939</f>
        <v>m</v>
      </c>
      <c r="I298" s="82" t="str">
        <f>Invoerscherm!G939</f>
        <v>&lt;&lt; maak keuze &gt;&gt;</v>
      </c>
      <c r="J298" s="11" t="s">
        <v>422</v>
      </c>
      <c r="V298" s="6">
        <f>'Datablad 3'!C129</f>
        <v>0.2</v>
      </c>
      <c r="W298" s="6">
        <f>'Datablad 3'!D129</f>
        <v>0.2</v>
      </c>
      <c r="X298" s="6" t="str">
        <f>'Datablad 3'!E129</f>
        <v>L diesel / m</v>
      </c>
      <c r="Y298" s="6">
        <f>IF($I$298="Diesel",'Datablad 1'!B2+'Datablad 1'!B12,IF($I$298="Biodiesel",'Datablad 1'!B8+'Datablad 1'!B17,0))</f>
        <v>0</v>
      </c>
      <c r="Z298" s="6">
        <f t="shared" si="23"/>
        <v>0</v>
      </c>
      <c r="AA298" s="35" t="s">
        <v>496</v>
      </c>
    </row>
    <row r="299" spans="1:27" ht="12.75">
      <c r="A299" s="6" t="s">
        <v>718</v>
      </c>
      <c r="B299" s="161" t="s">
        <v>473</v>
      </c>
      <c r="C299" s="287">
        <f>$G$299*V299*Y299</f>
        <v>0</v>
      </c>
      <c r="D299" s="287">
        <f>$G$299*W299*Z299</f>
        <v>0</v>
      </c>
      <c r="E299" s="7" t="s">
        <v>427</v>
      </c>
      <c r="G299" s="6">
        <f>Invoerscherm!E941</f>
        <v>0</v>
      </c>
      <c r="H299" s="6" t="str">
        <f>Invoerscherm!F941</f>
        <v>m</v>
      </c>
      <c r="I299" s="82" t="str">
        <f>Invoerscherm!G941</f>
        <v>&lt;&lt; maak keuze &gt;&gt;</v>
      </c>
      <c r="J299" s="11" t="s">
        <v>422</v>
      </c>
      <c r="V299" s="6">
        <f>'Datablad 3'!C130</f>
        <v>0.2</v>
      </c>
      <c r="W299" s="6">
        <f>'Datablad 3'!D130</f>
        <v>0.2</v>
      </c>
      <c r="X299" s="6" t="str">
        <f>'Datablad 3'!E130</f>
        <v>L diesel / m</v>
      </c>
      <c r="Y299" s="6">
        <f>IF($I$299="Diesel",'Datablad 1'!B2+'Datablad 1'!B11,IF($I$299="Biodiesel",'Datablad 1'!B8+'Datablad 1'!B17,0))</f>
        <v>0</v>
      </c>
      <c r="Z299" s="6">
        <f t="shared" si="23"/>
        <v>0</v>
      </c>
      <c r="AA299" s="35" t="s">
        <v>496</v>
      </c>
    </row>
    <row r="300" spans="1:24" ht="12.75">
      <c r="A300" s="6" t="s">
        <v>718</v>
      </c>
      <c r="B300" s="161" t="s">
        <v>719</v>
      </c>
      <c r="C300" s="287">
        <f>$G$300*V300</f>
        <v>0</v>
      </c>
      <c r="D300" s="287">
        <f>$G$300*W300</f>
        <v>0</v>
      </c>
      <c r="E300" s="7" t="s">
        <v>427</v>
      </c>
      <c r="G300" s="6">
        <f>Invoerscherm!E943</f>
        <v>0</v>
      </c>
      <c r="H300" s="6" t="str">
        <f>Invoerscherm!F943</f>
        <v>m</v>
      </c>
      <c r="I300" s="82"/>
      <c r="J300" s="11"/>
      <c r="V300" s="6">
        <f>'Datablad 3'!C134</f>
        <v>0.1</v>
      </c>
      <c r="W300" s="6">
        <f>'Datablad 3'!D134</f>
        <v>0.1</v>
      </c>
      <c r="X300" s="6" t="str">
        <f>'Datablad 3'!E134</f>
        <v>kg CO2 / m</v>
      </c>
    </row>
    <row r="301" spans="1:27" ht="12.75">
      <c r="A301" s="6" t="s">
        <v>718</v>
      </c>
      <c r="B301" s="161" t="s">
        <v>720</v>
      </c>
      <c r="C301" s="273">
        <f>($I$301*24)*V301*Y301</f>
        <v>0</v>
      </c>
      <c r="D301" s="273">
        <f>($I$301*24)*W301*Z301</f>
        <v>0</v>
      </c>
      <c r="E301" s="7" t="s">
        <v>427</v>
      </c>
      <c r="G301" s="82" t="str">
        <f>Invoerscherm!E945</f>
        <v>&lt;&lt; maak keuze &gt;&gt;</v>
      </c>
      <c r="H301" s="8" t="s">
        <v>722</v>
      </c>
      <c r="I301" s="6">
        <f>Invoerscherm!H945</f>
        <v>0</v>
      </c>
      <c r="J301" s="6" t="str">
        <f>Invoerscherm!I945</f>
        <v>dagen (gebruiksduur)</v>
      </c>
      <c r="K301" s="82" t="str">
        <f>Invoerscherm!L945</f>
        <v>&lt;&lt; maak keuze &gt;&gt;</v>
      </c>
      <c r="L301" s="11" t="s">
        <v>422</v>
      </c>
      <c r="V301" s="6">
        <f>IF(OR($G$301="&lt;&lt; maak keuze &gt;&gt;",$G$301=0),0,VLOOKUP($G$301,'Datablad 3'!$B$59:$D$67,2))</f>
        <v>0</v>
      </c>
      <c r="W301" s="6">
        <f>IF(OR($G$301="&lt;&lt; maak keuze &gt;&gt;",$G$301=0),0,VLOOKUP($G$301,'Datablad 3'!$B$59:$D$67,3))</f>
        <v>0</v>
      </c>
      <c r="X301" s="25" t="s">
        <v>338</v>
      </c>
      <c r="Y301" s="6">
        <f>IF($K$301="Diesel",'Datablad 1'!B2+'Datablad 1'!B11,IF($K$301="Biodiesel",'Datablad 1'!B8+'Datablad 1'!B17,0))</f>
        <v>0</v>
      </c>
      <c r="Z301" s="6">
        <f t="shared" si="23"/>
        <v>0</v>
      </c>
      <c r="AA301" s="35" t="s">
        <v>496</v>
      </c>
    </row>
    <row r="303" ht="12.75">
      <c r="B303" s="156"/>
    </row>
    <row r="304" spans="1:4" ht="12.75">
      <c r="A304" s="122" t="s">
        <v>444</v>
      </c>
      <c r="C304" s="274">
        <f>SUM(C284:C287)</f>
        <v>0</v>
      </c>
      <c r="D304" s="274">
        <f>SUM(D284:D287)</f>
        <v>0</v>
      </c>
    </row>
    <row r="305" spans="1:4" ht="12.75">
      <c r="A305" s="122" t="s">
        <v>724</v>
      </c>
      <c r="C305" s="274">
        <f>SUM(C288:C295)</f>
        <v>0</v>
      </c>
      <c r="D305" s="274">
        <f>SUM(D288:D295)</f>
        <v>0</v>
      </c>
    </row>
    <row r="306" spans="1:4" ht="12.75">
      <c r="A306" s="122" t="s">
        <v>718</v>
      </c>
      <c r="C306" s="274">
        <f>SUM(C296:C301)</f>
        <v>0</v>
      </c>
      <c r="D306" s="274">
        <f>SUM(D296:D301)</f>
        <v>0</v>
      </c>
    </row>
    <row r="307" spans="3:39" s="42" customFormat="1" ht="12.75">
      <c r="C307" s="280"/>
      <c r="D307" s="280"/>
      <c r="H307" s="281"/>
      <c r="J307" s="281"/>
      <c r="L307" s="281"/>
      <c r="N307" s="281"/>
      <c r="P307" s="281"/>
      <c r="Q307" s="282"/>
      <c r="R307" s="281"/>
      <c r="S307" s="282"/>
      <c r="T307" s="281"/>
      <c r="X307" s="281"/>
      <c r="AA307" s="281"/>
      <c r="AD307" s="281"/>
      <c r="AG307" s="281"/>
      <c r="AJ307" s="281"/>
      <c r="AM307" s="281"/>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Tauw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ork</dc:creator>
  <cp:keywords/>
  <dc:description/>
  <cp:lastModifiedBy>Lieve Crauwels</cp:lastModifiedBy>
  <cp:lastPrinted>2009-07-03T13:17:22Z</cp:lastPrinted>
  <dcterms:created xsi:type="dcterms:W3CDTF">2009-02-04T12:37:01Z</dcterms:created>
  <dcterms:modified xsi:type="dcterms:W3CDTF">2022-03-28T11:45:29Z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